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Lotes" sheetId="1" state="visible" r:id="rId2"/>
  </sheets>
  <calcPr iterateCount="100" refMode="A1" iterate="false" iterateDelta="0.001"/>
</workbook>
</file>

<file path=xl/styles.xml><?xml version="1.0" encoding="utf-8"?>
<styleSheet xmlns="http://schemas.openxmlformats.org/spreadsheetml/2006/main">
  <numFmts count="2">
    <numFmt numFmtId="164" formatCode="GENERAL"/>
    <numFmt numFmtId="165" formatCode="@"/>
  </numFmts>
  <fonts count="6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22"/>
      <color rgb="FF1C4E61"/>
      <b val="true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6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5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true" applyBorder="false" applyFont="true" applyProtection="false" borderId="0" fillId="0" fontId="5" numFmtId="165" xfId="0">
      <alignment horizontal="right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F19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5" min="1" style="0" width="11.5"/>
  </cols>
  <sheetData>
    <row collapsed="false" customFormat="false" customHeight="false" hidden="false" ht="12.1" outlineLevel="0" r="1">
      <c r="A1" s="1"/>
      <c r="B1" s="1"/>
      <c r="C1" s="1"/>
    </row>
    <row collapsed="false" customFormat="false" customHeight="false" hidden="false" ht="12.1" outlineLevel="0" r="2">
      <c r="A2" s="2" t="inlineStr">
        <is>
          <t>LEILÃO ONLINE.NET</t>
        </is>
      </c>
      <c r="B2" s="2"/>
      <c r="C2" s="2"/>
      <c r="D2" s="2"/>
      <c r="E2" s="2"/>
    </row>
    <row collapsed="false" customFormat="false" customHeight="false" hidden="false" ht="12.1" outlineLevel="0" r="3">
      <c r="A3" s="1"/>
      <c r="B3" s="1"/>
      <c r="C3" s="1"/>
    </row>
    <row collapsed="false" customFormat="false" customHeight="false" hidden="false" ht="12.1" outlineLevel="0" r="4">
      <c r="A4" s="1"/>
      <c r="B4" s="1"/>
      <c r="C4" s="1"/>
    </row>
    <row collapsed="false" customFormat="false" customHeight="false" hidden="false" ht="12.1" outlineLevel="0" r="5">
      <c r="A5" s="1"/>
      <c r="B5" s="1"/>
      <c r="C5" s="1"/>
    </row>
    <row collapsed="false" customFormat="false" customHeight="false" hidden="false" ht="12.1" outlineLevel="0" r="6">
      <c r="A6" s="3" t="inlineStr">
        <is>
          <t>Leilão</t>
        </is>
      </c>
      <c r="B6" s="4" t="inlineStr">
        <is>
          <t>30 TRATORES - 15 CAMINHÕES - S.REBOQUES - S10 - CARROS E OUTROS</t>
        </is>
      </c>
      <c r="C6" s="4"/>
      <c r="D6" s="4"/>
      <c r="E6" s="4"/>
      <c r="F6" s="4"/>
    </row>
    <row collapsed="false" customFormat="false" customHeight="false" hidden="false" ht="12.1" outlineLevel="0" r="7">
      <c r="A7" s="3" t="inlineStr">
        <is>
          <t>Data</t>
        </is>
      </c>
      <c r="B7" s="4" t="inlineStr">
        <is>
          <t>29/05/2020 11:30</t>
        </is>
      </c>
      <c r="C7" s="4"/>
      <c r="D7" s="4"/>
      <c r="E7" s="4"/>
      <c r="F7" s="4"/>
    </row>
    <row collapsed="false" customFormat="false" customHeight="false" hidden="false" ht="12.1" outlineLevel="0" r="8">
      <c r="A8" s="3" t="inlineStr">
        <is>
          <t>Leiloeiro</t>
        </is>
      </c>
      <c r="B8" s="4" t="inlineStr">
        <is>
          <t>Eduardo Jordao Boyadjian</t>
        </is>
      </c>
      <c r="C8" s="4"/>
      <c r="D8" s="4"/>
      <c r="E8" s="4"/>
      <c r="F8" s="4"/>
    </row>
    <row collapsed="false" customFormat="false" customHeight="false" hidden="false" ht="12.1" outlineLevel="0" r="9">
      <c r="A9" s="1"/>
      <c r="B9" s="1"/>
      <c r="C9" s="1"/>
    </row>
    <row collapsed="false" customFormat="false" customHeight="false" hidden="false" ht="12.1" outlineLevel="0" r="10">
      <c r="A10" s="3" t="inlineStr">
        <is>
          <t>Lote</t>
        </is>
      </c>
      <c r="B10" s="3" t="inlineStr">
        <is>
          <t>Descrição</t>
        </is>
      </c>
      <c r="C10" s="3" t="inlineStr">
        <is>
          <t>Status</t>
        </is>
      </c>
      <c r="D10" s="3" t="inlineStr">
        <is>
          <t>Lances</t>
        </is>
      </c>
      <c r="E10" s="3" t="inlineStr">
        <is>
          <t>Lance atual</t>
        </is>
      </c>
      <c r="F10" s="3" t="inlineStr">
        <is>
          <t>Inc. mínimo</t>
        </is>
      </c>
    </row>
    <row collapsed="false" customFormat="false" customHeight="false" hidden="false" ht="12.1" outlineLevel="0" r="11">
      <c r="A11" s="5" t="s">
        <f>=HYPERLINK("https://leilaoonline.net/lote/detalhe/50102", "008")</f>
      </c>
      <c r="B11" s="4" t="s">
        <f>=HYPERLINK("https://leilaoonline.net/lote/detalhe/50102", "CAMINHÃO VW/15.190 WORKER COMBOIO, ANO 2014, FR120027, UND JUNQUEIRA")</f>
      </c>
      <c r="C11" s="4" t="inlineStr">
        <is>
          <t>Não vendido</t>
        </is>
      </c>
      <c r="D11" s="4" t="inlineStr">
        <is>
          <t>50</t>
        </is>
      </c>
      <c r="E11" s="5" t="inlineStr">
        <is>
          <t>109.500,00</t>
        </is>
      </c>
      <c r="F11" s="4" t="inlineStr">
        <is>
          <t>500.00</t>
        </is>
      </c>
    </row>
    <row collapsed="false" customFormat="false" customHeight="false" hidden="false" ht="12.1" outlineLevel="0" r="12">
      <c r="A12" s="5" t="s">
        <f>=HYPERLINK("https://leilaoonline.net/lote/detalhe/49237", "1000")</f>
      </c>
      <c r="B12" s="4" t="s">
        <f>=HYPERLINK("https://leilaoonline.net/lote/detalhe/49237", "TRATOR VALTRA BM 100 CARREGADEIRA SANTAL , ANO 2013, FR126073, UND  UNIVALEM")</f>
      </c>
      <c r="C12" s="4" t="inlineStr">
        <is>
          <t>Vendido</t>
        </is>
      </c>
      <c r="D12" s="4" t="inlineStr">
        <is>
          <t>69</t>
        </is>
      </c>
      <c r="E12" s="5" t="inlineStr">
        <is>
          <t>90.500,00</t>
        </is>
      </c>
      <c r="F12" s="4" t="inlineStr">
        <is>
          <t>500.00</t>
        </is>
      </c>
    </row>
    <row collapsed="false" customFormat="false" customHeight="false" hidden="false" ht="12.1" outlineLevel="0" r="13">
      <c r="A13" s="5" t="s">
        <f>=HYPERLINK("https://leilaoonline.net/lote/detalhe/49246", "1001")</f>
      </c>
      <c r="B13" s="4" t="s">
        <f>=HYPERLINK("https://leilaoonline.net/lote/detalhe/49246", " TRATOR DE JARDIM, S/FR.. UND TARUMÃ")</f>
      </c>
      <c r="C13" s="4" t="inlineStr">
        <is>
          <t>Não vendido</t>
        </is>
      </c>
      <c r="D13" s="4" t="inlineStr">
        <is>
          <t>14</t>
        </is>
      </c>
      <c r="E13" s="5" t="inlineStr">
        <is>
          <t>5.000,00</t>
        </is>
      </c>
      <c r="F13" s="4" t="inlineStr">
        <is>
          <t>250.00</t>
        </is>
      </c>
    </row>
    <row collapsed="false" customFormat="false" customHeight="false" hidden="false" ht="12.1" outlineLevel="0" r="14">
      <c r="A14" s="5" t="s">
        <f>=HYPERLINK("https://leilaoonline.net/lote/detalhe/49439", "1002")</f>
      </c>
      <c r="B14" s="4" t="s">
        <f>=HYPERLINK("https://leilaoonline.net/lote/detalhe/49439", "CAÇAMBA BASCULANTE, S/FR, UND IPAUSSU")</f>
      </c>
      <c r="C14" s="4" t="inlineStr">
        <is>
          <t>Vendido</t>
        </is>
      </c>
      <c r="D14" s="4" t="inlineStr">
        <is>
          <t>1</t>
        </is>
      </c>
      <c r="E14" s="5" t="inlineStr">
        <is>
          <t>2.750,00</t>
        </is>
      </c>
      <c r="F14" s="4" t="inlineStr">
        <is>
          <t>250.00</t>
        </is>
      </c>
    </row>
    <row collapsed="false" customFormat="false" customHeight="false" hidden="false" ht="12.1" outlineLevel="0" r="15">
      <c r="A15" s="5" t="s">
        <f>=HYPERLINK("https://leilaoonline.net/lote/detalhe/49599", "1003")</f>
      </c>
      <c r="B15" s="4" t="s">
        <f>=HYPERLINK("https://leilaoonline.net/lote/detalhe/49599", "QUADRICICLO HONDA TRX 420 FR40390 ANO 2015 - UND IPAUSSU")</f>
      </c>
      <c r="C15" s="4" t="inlineStr">
        <is>
          <t>Vendido</t>
        </is>
      </c>
      <c r="D15" s="4" t="inlineStr">
        <is>
          <t>96</t>
        </is>
      </c>
      <c r="E15" s="5" t="inlineStr">
        <is>
          <t>25.350,00</t>
        </is>
      </c>
      <c r="F15" s="4" t="inlineStr">
        <is>
          <t>250.00</t>
        </is>
      </c>
    </row>
    <row collapsed="false" customFormat="false" customHeight="false" hidden="false" ht="12.1" outlineLevel="0" r="16">
      <c r="A16" s="5" t="s">
        <f>=HYPERLINK("https://leilaoonline.net/lote/detalhe/49600", "1004")</f>
      </c>
      <c r="B16" s="4" t="s">
        <f>=HYPERLINK("https://leilaoonline.net/lote/detalhe/49600", "VENDA POR KILO 80 tonelas SUCATA AÇO Carbono Geral, S/FR, UND JATAÍ")</f>
      </c>
      <c r="C16" s="4" t="inlineStr">
        <is>
          <t>Não vendido</t>
        </is>
      </c>
      <c r="D16" s="4" t="inlineStr">
        <is>
          <t>5</t>
        </is>
      </c>
      <c r="E16" s="5" t="inlineStr">
        <is>
          <t>0,43</t>
        </is>
      </c>
      <c r="F16" s="4" t="inlineStr">
        <is>
          <t>0.02</t>
        </is>
      </c>
    </row>
    <row collapsed="false" customFormat="false" customHeight="false" hidden="false" ht="12.1" outlineLevel="0" r="17">
      <c r="A17" s="5" t="s">
        <f>=HYPERLINK("https://leilaoonline.net/lote/detalhe/49984", "1005")</f>
      </c>
      <c r="B17" s="4" t="s">
        <f>=HYPERLINK("https://leilaoonline.net/lote/detalhe/49984", "CAMINHÃO SCANIA/P124 CB 6X4NZ 420 C. INTEIRA, ANO 2000/2001, FR52850/67343, UND B. RETIRO")</f>
      </c>
      <c r="C17" s="4" t="inlineStr">
        <is>
          <t>Vendido</t>
        </is>
      </c>
      <c r="D17" s="4" t="inlineStr">
        <is>
          <t>72</t>
        </is>
      </c>
      <c r="E17" s="5" t="inlineStr">
        <is>
          <t>65.000,00</t>
        </is>
      </c>
      <c r="F17" s="4" t="inlineStr">
        <is>
          <t>500.00</t>
        </is>
      </c>
    </row>
    <row collapsed="false" customFormat="false" customHeight="false" hidden="false" ht="12.1" outlineLevel="0" r="18">
      <c r="A18" s="5" t="s">
        <f>=HYPERLINK("https://leilaoonline.net/lote/detalhe/49985", "1006")</f>
      </c>
      <c r="B18" s="4" t="s">
        <f>=HYPERLINK("https://leilaoonline.net/lote/detalhe/49985", "CAMINHÃO VW/26.220 EURO3 WORKER TANQUE , ANO 2010, FR139270, UND RAFARD *SINISTRO/RECUPERADO*")</f>
      </c>
      <c r="C18" s="4" t="inlineStr">
        <is>
          <t>Vendido</t>
        </is>
      </c>
      <c r="D18" s="4" t="inlineStr">
        <is>
          <t>66</t>
        </is>
      </c>
      <c r="E18" s="5" t="inlineStr">
        <is>
          <t>42.500,00</t>
        </is>
      </c>
      <c r="F18" s="4" t="inlineStr">
        <is>
          <t>500.00</t>
        </is>
      </c>
    </row>
    <row collapsed="false" customFormat="false" customHeight="false" hidden="false" ht="12.1" outlineLevel="0" r="19">
      <c r="A19" s="5" t="s">
        <f>=HYPERLINK("https://leilaoonline.net/lote/detalhe/49597", "1007")</f>
      </c>
      <c r="B19" s="4" t="s">
        <f>=HYPERLINK("https://leilaoonline.net/lote/detalhe/49597", "CARRETA ROD REB/TIN CAR REBTC JTS, ANO 2015, FR48260 - UND IPAUSSU")</f>
      </c>
      <c r="C19" s="4" t="inlineStr">
        <is>
          <t>Não vendido</t>
        </is>
      </c>
      <c r="D19" s="4" t="inlineStr">
        <is>
          <t>12</t>
        </is>
      </c>
      <c r="E19" s="5" t="inlineStr">
        <is>
          <t>2.200,00</t>
        </is>
      </c>
      <c r="F19" s="4" t="inlineStr">
        <is>
          <t>150.00</t>
        </is>
      </c>
    </row>
    <row collapsed="false" customFormat="false" customHeight="false" hidden="false" ht="12.1" outlineLevel="0" r="20">
      <c r="A20" s="5" t="s">
        <f>=HYPERLINK("https://leilaoonline.net/lote/detalhe/49986", "1008")</f>
      </c>
      <c r="B20" s="4" t="s">
        <f>=HYPERLINK("https://leilaoonline.net/lote/detalhe/49986", "CHEVROLET/S10 LS FD2 CAB. DUPLA ADVAN D 4X2, FLEX, ANO 2014, FR140416, UND S. FRANCISCO")</f>
      </c>
      <c r="C20" s="4" t="inlineStr">
        <is>
          <t>Vendido</t>
        </is>
      </c>
      <c r="D20" s="4" t="inlineStr">
        <is>
          <t>45</t>
        </is>
      </c>
      <c r="E20" s="5" t="inlineStr">
        <is>
          <t>32.000,00</t>
        </is>
      </c>
      <c r="F20" s="4" t="inlineStr">
        <is>
          <t>500.00</t>
        </is>
      </c>
    </row>
    <row collapsed="false" customFormat="false" customHeight="false" hidden="false" ht="12.1" outlineLevel="0" r="21">
      <c r="A21" s="5" t="s">
        <f>=HYPERLINK("https://leilaoonline.net/lote/detalhe/49987", "1009")</f>
      </c>
      <c r="B21" s="4" t="s">
        <f>=HYPERLINK("https://leilaoonline.net/lote/detalhe/49987", "CHEVROLET/S10 LS FD2 CAB. DUPLA ADVANT D 4X2, FLEX, ANO 2014, FR59091, UND C. PINTO")</f>
      </c>
      <c r="C21" s="4" t="inlineStr">
        <is>
          <t>Vendido</t>
        </is>
      </c>
      <c r="D21" s="4" t="inlineStr">
        <is>
          <t>41</t>
        </is>
      </c>
      <c r="E21" s="5" t="inlineStr">
        <is>
          <t>30.500,00</t>
        </is>
      </c>
      <c r="F21" s="4" t="inlineStr">
        <is>
          <t>500.00</t>
        </is>
      </c>
    </row>
    <row collapsed="false" customFormat="false" customHeight="false" hidden="false" ht="12.1" outlineLevel="0" r="22">
      <c r="A22" s="5" t="s">
        <f>=HYPERLINK("https://leilaoonline.net/lote/detalhe/49988", "1010")</f>
      </c>
      <c r="B22" s="4" t="s">
        <f>=HYPERLINK("https://leilaoonline.net/lote/detalhe/49988", "CAMINHÃO VW/26.280 CRM 6X4, ANO 2013/2014, FR360593, UND C. PINTO")</f>
      </c>
      <c r="C22" s="4" t="inlineStr">
        <is>
          <t>Não vendido</t>
        </is>
      </c>
      <c r="D22" s="4" t="inlineStr">
        <is>
          <t>190</t>
        </is>
      </c>
      <c r="E22" s="5" t="inlineStr">
        <is>
          <t>124.500,00</t>
        </is>
      </c>
      <c r="F22" s="4" t="inlineStr">
        <is>
          <t>500.00</t>
        </is>
      </c>
    </row>
    <row collapsed="false" customFormat="false" customHeight="false" hidden="false" ht="12.1" outlineLevel="0" r="23">
      <c r="A23" s="5" t="s">
        <f>=HYPERLINK("https://leilaoonline.net/lote/detalhe/49989", "1011")</f>
      </c>
      <c r="B23" s="4" t="s">
        <f>=HYPERLINK("https://leilaoonline.net/lote/detalhe/49989", "CAMINHÃO VW/15.180 EURO3 WORKER CARROCERIA DE AÇO, ANO 2010, FR52529, UND C. PINTO")</f>
      </c>
      <c r="C23" s="4" t="inlineStr">
        <is>
          <t>Vendido</t>
        </is>
      </c>
      <c r="D23" s="4" t="inlineStr">
        <is>
          <t>85</t>
        </is>
      </c>
      <c r="E23" s="5" t="inlineStr">
        <is>
          <t>58.000,00</t>
        </is>
      </c>
      <c r="F23" s="4" t="inlineStr">
        <is>
          <t>500.00</t>
        </is>
      </c>
    </row>
    <row collapsed="false" customFormat="false" customHeight="false" hidden="false" ht="12.1" outlineLevel="0" r="24">
      <c r="A24" s="5" t="s">
        <f>=HYPERLINK("https://leilaoonline.net/lote/detalhe/49990", "1012")</f>
      </c>
      <c r="B24" s="4" t="s">
        <f>=HYPERLINK("https://leilaoonline.net/lote/detalhe/49990", "CAMINHÃO VW 15.180 WORKER BAÚ OFICINA, ANO 2010, FR52526, UND C. PINTO")</f>
      </c>
      <c r="C24" s="4" t="inlineStr">
        <is>
          <t>Vendido</t>
        </is>
      </c>
      <c r="D24" s="4" t="inlineStr">
        <is>
          <t>52</t>
        </is>
      </c>
      <c r="E24" s="5" t="inlineStr">
        <is>
          <t>45.500,00</t>
        </is>
      </c>
      <c r="F24" s="4" t="inlineStr">
        <is>
          <t>500.00</t>
        </is>
      </c>
    </row>
    <row collapsed="false" customFormat="false" customHeight="false" hidden="false" ht="12.1" outlineLevel="0" r="25">
      <c r="A25" s="5" t="s">
        <f>=HYPERLINK("https://leilaoonline.net/lote/detalhe/49991", "1013")</f>
      </c>
      <c r="B25" s="4" t="s">
        <f>=HYPERLINK("https://leilaoonline.net/lote/detalhe/49991", "CAMINHÃO VW/15.180 EURO3 WORKER COMBOIO, ANO 2010, FR34094/378851, UND RAFARD Nº DO MOTOR DIVERGENTE")</f>
      </c>
      <c r="C25" s="4" t="inlineStr">
        <is>
          <t>Vendido</t>
        </is>
      </c>
      <c r="D25" s="4" t="inlineStr">
        <is>
          <t>76</t>
        </is>
      </c>
      <c r="E25" s="5" t="inlineStr">
        <is>
          <t>69.000,00</t>
        </is>
      </c>
      <c r="F25" s="4" t="inlineStr">
        <is>
          <t>500.00</t>
        </is>
      </c>
    </row>
    <row collapsed="false" customFormat="false" customHeight="false" hidden="false" ht="12.1" outlineLevel="0" r="26">
      <c r="A26" s="5" t="s">
        <f>=HYPERLINK("https://leilaoonline.net/lote/detalhe/49994", "1014")</f>
      </c>
      <c r="B26" s="4" t="s">
        <f>=HYPERLINK("https://leilaoonline.net/lote/detalhe/49994", "ÔNIBUS M.BENZ/OF 1318 ÁREA VIVENCIA, FR139219, ANO 1991, UND C. PINTO")</f>
      </c>
      <c r="C26" s="4" t="inlineStr">
        <is>
          <t>Não vendido</t>
        </is>
      </c>
      <c r="D26" s="4" t="inlineStr">
        <is>
          <t>29</t>
        </is>
      </c>
      <c r="E26" s="5" t="inlineStr">
        <is>
          <t>12.750,00</t>
        </is>
      </c>
      <c r="F26" s="4" t="inlineStr">
        <is>
          <t>250.00</t>
        </is>
      </c>
    </row>
    <row collapsed="false" customFormat="false" customHeight="false" hidden="false" ht="12.1" outlineLevel="0" r="27">
      <c r="A27" s="5" t="s">
        <f>=HYPERLINK("https://leilaoonline.net/lote/detalhe/49998", "1015")</f>
      </c>
      <c r="B27" s="4" t="s">
        <f>=HYPERLINK("https://leilaoonline.net/lote/detalhe/49998", "CAMINHÃO M.B./M.BENZ 709 TOCO, ANO 1993, FR139198/140219, UND B. RETIRO")</f>
      </c>
      <c r="C27" s="4" t="inlineStr">
        <is>
          <t>Vendido</t>
        </is>
      </c>
      <c r="D27" s="4" t="inlineStr">
        <is>
          <t>39</t>
        </is>
      </c>
      <c r="E27" s="5" t="inlineStr">
        <is>
          <t>30.500,00</t>
        </is>
      </c>
      <c r="F27" s="4" t="inlineStr">
        <is>
          <t>500.00</t>
        </is>
      </c>
    </row>
    <row collapsed="false" customFormat="false" customHeight="false" hidden="false" ht="12.1" outlineLevel="0" r="28">
      <c r="A28" s="5" t="s">
        <f>=HYPERLINK("https://leilaoonline.net/lote/detalhe/50044", "1016")</f>
      </c>
      <c r="B28" s="4" t="s">
        <f>=HYPERLINK("https://leilaoonline.net/lote/detalhe/50044", "CAMINHÃO VW/26.280 CRM 6X4 C/ MUNCK BAZUCA, ANO 2013/2014, FR52501/FR57515, UND C. PINTO")</f>
      </c>
      <c r="C28" s="4" t="inlineStr">
        <is>
          <t>Não vendido</t>
        </is>
      </c>
      <c r="D28" s="4" t="inlineStr">
        <is>
          <t>188</t>
        </is>
      </c>
      <c r="E28" s="5" t="inlineStr">
        <is>
          <t>139.500,00</t>
        </is>
      </c>
      <c r="F28" s="4" t="inlineStr">
        <is>
          <t>500.00</t>
        </is>
      </c>
    </row>
    <row collapsed="false" customFormat="false" customHeight="false" hidden="false" ht="12.1" outlineLevel="0" r="29">
      <c r="A29" s="5" t="s">
        <f>=HYPERLINK("https://leilaoonline.net/lote/detalhe/50049", "1017")</f>
      </c>
      <c r="B29" s="4" t="s">
        <f>=HYPERLINK("https://leilaoonline.net/lote/detalhe/50049", "CAMINHÃO VW/26.220 EURO3 WORKER TANQUE,ANO 2008/2009, FR163127, UND JATAÍ")</f>
      </c>
      <c r="C29" s="4" t="inlineStr">
        <is>
          <t>Vendido</t>
        </is>
      </c>
      <c r="D29" s="4" t="inlineStr">
        <is>
          <t>58</t>
        </is>
      </c>
      <c r="E29" s="5" t="inlineStr">
        <is>
          <t>44.500,00</t>
        </is>
      </c>
      <c r="F29" s="4" t="inlineStr">
        <is>
          <t>500.00</t>
        </is>
      </c>
    </row>
    <row collapsed="false" customFormat="false" customHeight="false" hidden="false" ht="12.1" outlineLevel="0" r="30">
      <c r="A30" s="5" t="s">
        <f>=HYPERLINK("https://leilaoonline.net/lote/detalhe/48611", "2003")</f>
      </c>
      <c r="B30" s="4" t="s">
        <f>=HYPERLINK("https://leilaoonline.net/lote/detalhe/48611", " TRATOR NEW HOLLAND T8.295 , ANO 2014,  FR88467, UND DIAMANTE")</f>
      </c>
      <c r="C30" s="4" t="inlineStr">
        <is>
          <t>Vendido</t>
        </is>
      </c>
      <c r="D30" s="4" t="inlineStr">
        <is>
          <t>93</t>
        </is>
      </c>
      <c r="E30" s="5" t="inlineStr">
        <is>
          <t>139.000,00</t>
        </is>
      </c>
      <c r="F30" s="4" t="inlineStr">
        <is>
          <t>1000.00</t>
        </is>
      </c>
    </row>
    <row collapsed="false" customFormat="false" customHeight="false" hidden="false" ht="12.1" outlineLevel="0" r="31">
      <c r="A31" s="5" t="s">
        <f>=HYPERLINK("https://leilaoonline.net/lote/detalhe/48610", "2004")</f>
      </c>
      <c r="B31" s="4" t="s">
        <f>=HYPERLINK("https://leilaoonline.net/lote/detalhe/48610", " TRATOR NEW HOLLAND T8.295 , ANO 2014, FR88465, UND DIAMANTE")</f>
      </c>
      <c r="C31" s="4" t="inlineStr">
        <is>
          <t>Vendido</t>
        </is>
      </c>
      <c r="D31" s="4" t="inlineStr">
        <is>
          <t>84</t>
        </is>
      </c>
      <c r="E31" s="5" t="inlineStr">
        <is>
          <t>137.000,00</t>
        </is>
      </c>
      <c r="F31" s="4" t="inlineStr">
        <is>
          <t>1000.00</t>
        </is>
      </c>
    </row>
    <row collapsed="false" customFormat="false" customHeight="false" hidden="false" ht="12.1" outlineLevel="0" r="32">
      <c r="A32" s="5" t="s">
        <f>=HYPERLINK("https://leilaoonline.net/lote/detalhe/48609", "2005")</f>
      </c>
      <c r="B32" s="4" t="s">
        <f>=HYPERLINK("https://leilaoonline.net/lote/detalhe/48609", " TRATOR VALTRA 205 HIFLOW 4X4, ANO 2011, FR360666, UND DIAMANTE")</f>
      </c>
      <c r="C32" s="4" t="inlineStr">
        <is>
          <t>Vendido</t>
        </is>
      </c>
      <c r="D32" s="4" t="inlineStr">
        <is>
          <t>88</t>
        </is>
      </c>
      <c r="E32" s="5" t="inlineStr">
        <is>
          <t>90.000,00</t>
        </is>
      </c>
      <c r="F32" s="4" t="inlineStr">
        <is>
          <t>500.00</t>
        </is>
      </c>
    </row>
    <row collapsed="false" customFormat="false" customHeight="false" hidden="false" ht="12.1" outlineLevel="0" r="33">
      <c r="A33" s="5" t="s">
        <f>=HYPERLINK("https://leilaoonline.net/lote/detalhe/48606", "2006")</f>
      </c>
      <c r="B33" s="4" t="s">
        <f>=HYPERLINK("https://leilaoonline.net/lote/detalhe/48606", " TRATOR VALTRA 205 HIFLOW 4X4, ANO 2011, FR360665, UND DIAMANTE")</f>
      </c>
      <c r="C33" s="4" t="inlineStr">
        <is>
          <t>Não vendido</t>
        </is>
      </c>
      <c r="D33" s="4" t="inlineStr">
        <is>
          <t>80</t>
        </is>
      </c>
      <c r="E33" s="5" t="inlineStr">
        <is>
          <t>68.000,00</t>
        </is>
      </c>
      <c r="F33" s="4" t="inlineStr">
        <is>
          <t>500.00</t>
        </is>
      </c>
    </row>
    <row collapsed="false" customFormat="false" customHeight="false" hidden="false" ht="12.1" outlineLevel="0" r="34">
      <c r="A34" s="5" t="s">
        <f>=HYPERLINK("https://leilaoonline.net/lote/detalhe/48605", "2007")</f>
      </c>
      <c r="B34" s="4" t="s">
        <f>=HYPERLINK("https://leilaoonline.net/lote/detalhe/48605", " TRATOR VALTRA 205 HIFLOW 4X4, ANO 2011, FR163451, UND DIAMANTE")</f>
      </c>
      <c r="C34" s="4" t="inlineStr">
        <is>
          <t>Vendido</t>
        </is>
      </c>
      <c r="D34" s="4" t="inlineStr">
        <is>
          <t>78</t>
        </is>
      </c>
      <c r="E34" s="5" t="inlineStr">
        <is>
          <t>64.000,00</t>
        </is>
      </c>
      <c r="F34" s="4" t="inlineStr">
        <is>
          <t>500.00</t>
        </is>
      </c>
    </row>
    <row collapsed="false" customFormat="false" customHeight="false" hidden="false" ht="12.1" outlineLevel="0" r="35">
      <c r="A35" s="5" t="s">
        <f>=HYPERLINK("https://leilaoonline.net/lote/detalhe/48608", "2008")</f>
      </c>
      <c r="B35" s="4" t="s">
        <f>=HYPERLINK("https://leilaoonline.net/lote/detalhe/48608", " TRATOR VALTRA 205 HIFLOW 4X4, ANO 2011, FR360647, UND DIAMANTE")</f>
      </c>
      <c r="C35" s="4" t="inlineStr">
        <is>
          <t>Não vendido</t>
        </is>
      </c>
      <c r="D35" s="4" t="inlineStr">
        <is>
          <t>92</t>
        </is>
      </c>
      <c r="E35" s="5" t="inlineStr">
        <is>
          <t>72.500,00</t>
        </is>
      </c>
      <c r="F35" s="4" t="inlineStr">
        <is>
          <t>500.00</t>
        </is>
      </c>
    </row>
    <row collapsed="false" customFormat="false" customHeight="false" hidden="false" ht="12.1" outlineLevel="0" r="36">
      <c r="A36" s="5" t="s">
        <f>=HYPERLINK("https://leilaoonline.net/lote/detalhe/48604", "2009")</f>
      </c>
      <c r="B36" s="4" t="s">
        <f>=HYPERLINK("https://leilaoonline.net/lote/detalhe/48604", " TRATOR VALTRA 205 HIFLOW 4X4, ANO 2008, FR163433, UND DIAMANTE")</f>
      </c>
      <c r="C36" s="4" t="inlineStr">
        <is>
          <t>Vendido</t>
        </is>
      </c>
      <c r="D36" s="4" t="inlineStr">
        <is>
          <t>75</t>
        </is>
      </c>
      <c r="E36" s="5" t="inlineStr">
        <is>
          <t>66.000,00</t>
        </is>
      </c>
      <c r="F36" s="4" t="inlineStr">
        <is>
          <t>500.00</t>
        </is>
      </c>
    </row>
    <row collapsed="false" customFormat="false" customHeight="false" hidden="false" ht="12.1" outlineLevel="0" r="37">
      <c r="A37" s="5" t="s">
        <f>=HYPERLINK("https://leilaoonline.net/lote/detalhe/48612", "2010")</f>
      </c>
      <c r="B37" s="4" t="s">
        <f>=HYPERLINK("https://leilaoonline.net/lote/detalhe/48612", " TRATOR NEW HOLLAND T8.295 , ANO 2014,  FR88461, UND DIAMANTE")</f>
      </c>
      <c r="C37" s="4" t="inlineStr">
        <is>
          <t>Não vendido</t>
        </is>
      </c>
      <c r="D37" s="4" t="inlineStr">
        <is>
          <t>89</t>
        </is>
      </c>
      <c r="E37" s="5" t="inlineStr">
        <is>
          <t>131.000,00</t>
        </is>
      </c>
      <c r="F37" s="4" t="inlineStr">
        <is>
          <t>1000.00</t>
        </is>
      </c>
    </row>
    <row collapsed="false" customFormat="false" customHeight="false" hidden="false" ht="12.1" outlineLevel="0" r="38">
      <c r="A38" s="5" t="s">
        <f>=HYPERLINK("https://leilaoonline.net/lote/detalhe/48601", "2011")</f>
      </c>
      <c r="B38" s="4" t="s">
        <f>=HYPERLINK("https://leilaoonline.net/lote/detalhe/48601", " TRATOR VALTRA 205 HIFLOW 4X4, ANO 2011, FR360639, UND DIAMANTE")</f>
      </c>
      <c r="C38" s="4" t="inlineStr">
        <is>
          <t>Não vendido</t>
        </is>
      </c>
      <c r="D38" s="4" t="inlineStr">
        <is>
          <t>108</t>
        </is>
      </c>
      <c r="E38" s="5" t="inlineStr">
        <is>
          <t>68.500,00</t>
        </is>
      </c>
      <c r="F38" s="4" t="inlineStr">
        <is>
          <t>500.00</t>
        </is>
      </c>
    </row>
    <row collapsed="false" customFormat="false" customHeight="false" hidden="false" ht="12.1" outlineLevel="0" r="39">
      <c r="A39" s="5" t="s">
        <f>=HYPERLINK("https://leilaoonline.net/lote/detalhe/49601", "2253")</f>
      </c>
      <c r="B39" s="4" t="s">
        <f>=HYPERLINK("https://leilaoonline.net/lote/detalhe/49601", "CARRETA P/ TUBOS, FR163700/163701, UND JATAÍ")</f>
      </c>
      <c r="C39" s="4" t="inlineStr">
        <is>
          <t>Vendido</t>
        </is>
      </c>
      <c r="D39" s="4" t="inlineStr">
        <is>
          <t>10</t>
        </is>
      </c>
      <c r="E39" s="5" t="inlineStr">
        <is>
          <t>1.700,00</t>
        </is>
      </c>
      <c r="F39" s="4" t="inlineStr">
        <is>
          <t>150.00</t>
        </is>
      </c>
    </row>
    <row collapsed="false" customFormat="false" customHeight="false" hidden="false" ht="12.1" outlineLevel="0" r="40">
      <c r="A40" s="5" t="s">
        <f>=HYPERLINK("https://leilaoonline.net/lote/detalhe/49602", "2255")</f>
      </c>
      <c r="B40" s="4" t="s">
        <f>=HYPERLINK("https://leilaoonline.net/lote/detalhe/49602", "CARRETA P/TUBOS, FR163706, UND JATAÍ")</f>
      </c>
      <c r="C40" s="4" t="inlineStr">
        <is>
          <t>Não vendido</t>
        </is>
      </c>
      <c r="D40" s="4" t="inlineStr">
        <is>
          <t>22</t>
        </is>
      </c>
      <c r="E40" s="5" t="inlineStr">
        <is>
          <t>3.500,00</t>
        </is>
      </c>
      <c r="F40" s="4" t="inlineStr">
        <is>
          <t>150.00</t>
        </is>
      </c>
    </row>
    <row collapsed="false" customFormat="false" customHeight="false" hidden="false" ht="12.1" outlineLevel="0" r="41">
      <c r="A41" s="5" t="s">
        <f>=HYPERLINK("https://leilaoonline.net/lote/detalhe/50048", "2261")</f>
      </c>
      <c r="B41" s="4" t="s">
        <f>=HYPERLINK("https://leilaoonline.net/lote/detalhe/50048", "Moto Bomba Om 447 - A, FR164824, SÉRIE 1328/08, UND JATAÍ")</f>
      </c>
      <c r="C41" s="4" t="inlineStr">
        <is>
          <t>Não vendido</t>
        </is>
      </c>
      <c r="D41" s="4" t="inlineStr">
        <is>
          <t>16</t>
        </is>
      </c>
      <c r="E41" s="5" t="inlineStr">
        <is>
          <t>15.500,00</t>
        </is>
      </c>
      <c r="F41" s="4" t="inlineStr">
        <is>
          <t>250.00</t>
        </is>
      </c>
    </row>
    <row collapsed="false" customFormat="false" customHeight="false" hidden="false" ht="12.1" outlineLevel="0" r="42">
      <c r="A42" s="5" t="s">
        <f>=HYPERLINK("https://leilaoonline.net/lote/detalhe/50047", "2262")</f>
      </c>
      <c r="B42" s="4" t="s">
        <f>=HYPERLINK("https://leilaoonline.net/lote/detalhe/50047", "MOTO BOMBA Om 447 - A, FR164823, SÉRIE 1327/08, UND JATAÍ")</f>
      </c>
      <c r="C42" s="4" t="inlineStr">
        <is>
          <t>Vendido</t>
        </is>
      </c>
      <c r="D42" s="4" t="inlineStr">
        <is>
          <t>11</t>
        </is>
      </c>
      <c r="E42" s="5" t="inlineStr">
        <is>
          <t>14.000,00</t>
        </is>
      </c>
      <c r="F42" s="4" t="inlineStr">
        <is>
          <t>250.00</t>
        </is>
      </c>
    </row>
    <row collapsed="false" customFormat="false" customHeight="false" hidden="false" ht="12.1" outlineLevel="0" r="43">
      <c r="A43" s="5" t="s">
        <f>=HYPERLINK("https://leilaoonline.net/lote/detalhe/49604", "2263")</f>
      </c>
      <c r="B43" s="4" t="s">
        <f>=HYPERLINK("https://leilaoonline.net/lote/detalhe/49604", "MOTO BOMBA Om 447 - A, FR164816, SÉRIE OM31281155, UND JATAÍ")</f>
      </c>
      <c r="C43" s="4" t="inlineStr">
        <is>
          <t>Não vendido</t>
        </is>
      </c>
      <c r="D43" s="4" t="inlineStr">
        <is>
          <t>47</t>
        </is>
      </c>
      <c r="E43" s="5" t="inlineStr">
        <is>
          <t>15.500,00</t>
        </is>
      </c>
      <c r="F43" s="4" t="inlineStr">
        <is>
          <t>250.00</t>
        </is>
      </c>
    </row>
    <row collapsed="false" customFormat="false" customHeight="false" hidden="false" ht="12.1" outlineLevel="0" r="44">
      <c r="A44" s="5" t="s">
        <f>=HYPERLINK("https://leilaoonline.net/lote/detalhe/48607", "2446")</f>
      </c>
      <c r="B44" s="4" t="s">
        <f>=HYPERLINK("https://leilaoonline.net/lote/detalhe/48607", " TRATOR VALTRA 205 HIFLOW 4X4, ANO 2011, FR360626, UND DIAMANTE")</f>
      </c>
      <c r="C44" s="4" t="inlineStr">
        <is>
          <t>Não vendido</t>
        </is>
      </c>
      <c r="D44" s="4" t="inlineStr">
        <is>
          <t>110</t>
        </is>
      </c>
      <c r="E44" s="5" t="inlineStr">
        <is>
          <t>66.000,00</t>
        </is>
      </c>
      <c r="F44" s="4" t="inlineStr">
        <is>
          <t>500.00</t>
        </is>
      </c>
    </row>
    <row collapsed="false" customFormat="false" customHeight="false" hidden="false" ht="12.1" outlineLevel="0" r="45">
      <c r="A45" s="5" t="s">
        <f>=HYPERLINK("https://leilaoonline.net/lote/detalhe/49240", "3014")</f>
      </c>
      <c r="B45" s="4" t="s">
        <f>=HYPERLINK("https://leilaoonline.net/lote/detalhe/49240", "MUNCK, FR98690, UND BARRA")</f>
      </c>
      <c r="C45" s="4" t="inlineStr">
        <is>
          <t>Não vendido</t>
        </is>
      </c>
      <c r="D45" s="4" t="inlineStr">
        <is>
          <t>43</t>
        </is>
      </c>
      <c r="E45" s="5" t="inlineStr">
        <is>
          <t>22.250,00</t>
        </is>
      </c>
      <c r="F45" s="4" t="inlineStr">
        <is>
          <t>250.00</t>
        </is>
      </c>
    </row>
    <row collapsed="false" customFormat="false" customHeight="false" hidden="false" ht="12.1" outlineLevel="0" r="46">
      <c r="A46" s="5" t="s">
        <f>=HYPERLINK("https://leilaoonline.net/lote/detalhe/50103", "3019")</f>
      </c>
      <c r="B46" s="4" t="s">
        <f>=HYPERLINK("https://leilaoonline.net/lote/detalhe/50103", " VALTRA 205I 4X4 HIFLOW, ANO 2011, FR163452, UND BARRA")</f>
      </c>
      <c r="C46" s="4" t="inlineStr">
        <is>
          <t>Vendido</t>
        </is>
      </c>
      <c r="D46" s="4" t="inlineStr">
        <is>
          <t>112</t>
        </is>
      </c>
      <c r="E46" s="5" t="inlineStr">
        <is>
          <t>72.000,00</t>
        </is>
      </c>
      <c r="F46" s="4" t="inlineStr">
        <is>
          <t>500.00</t>
        </is>
      </c>
    </row>
    <row collapsed="false" customFormat="false" customHeight="false" hidden="false" ht="12.1" outlineLevel="0" r="47">
      <c r="A47" s="5" t="s">
        <f>=HYPERLINK("https://leilaoonline.net/lote/detalhe/50105", "3024")</f>
      </c>
      <c r="B47" s="4" t="s">
        <f>=HYPERLINK("https://leilaoonline.net/lote/detalhe/50105", " R/RANDONSP RQ CA 12,5M, ANO 2010, FR93636, UND BARRA")</f>
      </c>
      <c r="C47" s="4" t="inlineStr">
        <is>
          <t>Vendido</t>
        </is>
      </c>
      <c r="D47" s="4" t="inlineStr">
        <is>
          <t>30</t>
        </is>
      </c>
      <c r="E47" s="5" t="inlineStr">
        <is>
          <t>33.000,00</t>
        </is>
      </c>
      <c r="F47" s="4" t="inlineStr">
        <is>
          <t>500.00</t>
        </is>
      </c>
    </row>
    <row collapsed="false" customFormat="false" customHeight="false" hidden="false" ht="12.1" outlineLevel="0" r="48">
      <c r="A48" s="5" t="s">
        <f>=HYPERLINK("https://leilaoonline.net/lote/detalhe/49238", "3031")</f>
      </c>
      <c r="B48" s="4" t="s">
        <f>=HYPERLINK("https://leilaoonline.net/lote/detalhe/49238", "PONTA E BOLSAS DE ALUMÍNIO P TUBO DE "8" E TUBOS DE PVC, S/FR, UND BARRA")</f>
      </c>
      <c r="C48" s="4" t="inlineStr">
        <is>
          <t>Vendido</t>
        </is>
      </c>
      <c r="D48" s="4" t="inlineStr">
        <is>
          <t>25</t>
        </is>
      </c>
      <c r="E48" s="5" t="inlineStr">
        <is>
          <t>2.700,00</t>
        </is>
      </c>
      <c r="F48" s="4" t="inlineStr">
        <is>
          <t>100.00</t>
        </is>
      </c>
    </row>
    <row collapsed="false" customFormat="false" customHeight="false" hidden="false" ht="12.1" outlineLevel="0" r="49">
      <c r="A49" s="5" t="s">
        <f>=HYPERLINK("https://leilaoonline.net/lote/detalhe/50100", "3034")</f>
      </c>
      <c r="B49" s="4" t="s">
        <f>=HYPERLINK("https://leilaoonline.net/lote/detalhe/50100", "  CARRETEL DE MADEIRA 2,30 X 1,20, S/FR, UND BARRA")</f>
      </c>
      <c r="C49" s="4" t="inlineStr">
        <is>
          <t>Vendido</t>
        </is>
      </c>
      <c r="D49" s="4" t="inlineStr">
        <is>
          <t>2</t>
        </is>
      </c>
      <c r="E49" s="5" t="inlineStr">
        <is>
          <t>100,00</t>
        </is>
      </c>
      <c r="F49" s="4" t="inlineStr">
        <is>
          <t>50.00</t>
        </is>
      </c>
    </row>
    <row collapsed="false" customFormat="false" customHeight="false" hidden="false" ht="12.1" outlineLevel="0" r="50">
      <c r="A50" s="5" t="s">
        <f>=HYPERLINK("https://leilaoonline.net/lote/detalhe/49242", "3040")</f>
      </c>
      <c r="B50" s="4" t="s">
        <f>=HYPERLINK("https://leilaoonline.net/lote/detalhe/49242", "COLHEDORA Claas Ventor, ANO 2002, FR101417, UND BARRA")</f>
      </c>
      <c r="C50" s="4" t="inlineStr">
        <is>
          <t>Não vendido</t>
        </is>
      </c>
      <c r="D50" s="4" t="inlineStr">
        <is>
          <t>0</t>
        </is>
      </c>
      <c r="E50" s="5" t="inlineStr">
        <is>
          <t>7.000,00</t>
        </is>
      </c>
      <c r="F50" s="4" t="inlineStr">
        <is>
          <t>1000.00</t>
        </is>
      </c>
    </row>
    <row collapsed="false" customFormat="false" customHeight="false" hidden="false" ht="12.1" outlineLevel="0" r="51">
      <c r="A51" s="5" t="s">
        <f>=HYPERLINK("https://leilaoonline.net/lote/detalhe/49243", "3041")</f>
      </c>
      <c r="B51" s="4" t="s">
        <f>=HYPERLINK("https://leilaoonline.net/lote/detalhe/49243", "COLHEDORA John Deere 3522 2L, ANO 2010, FR101459, UND BARRA")</f>
      </c>
      <c r="C51" s="4" t="inlineStr">
        <is>
          <t>Não vendido</t>
        </is>
      </c>
      <c r="D51" s="4" t="inlineStr">
        <is>
          <t>44</t>
        </is>
      </c>
      <c r="E51" s="5" t="inlineStr">
        <is>
          <t>32.000,00</t>
        </is>
      </c>
      <c r="F51" s="4" t="inlineStr">
        <is>
          <t>500.00</t>
        </is>
      </c>
    </row>
    <row collapsed="false" customFormat="false" customHeight="false" hidden="false" ht="12.1" outlineLevel="0" r="52">
      <c r="A52" s="5" t="s">
        <f>=HYPERLINK("https://leilaoonline.net/lote/detalhe/49245", "3042")</f>
      </c>
      <c r="B52" s="4" t="s">
        <f>=HYPERLINK("https://leilaoonline.net/lote/detalhe/49245", "TRATOR Case Maxxum 180 4x4, ANO 2010, FR102824, UND BARRA")</f>
      </c>
      <c r="C52" s="4" t="inlineStr">
        <is>
          <t>Vendido</t>
        </is>
      </c>
      <c r="D52" s="4" t="inlineStr">
        <is>
          <t>50</t>
        </is>
      </c>
      <c r="E52" s="5" t="inlineStr">
        <is>
          <t>49.000,00</t>
        </is>
      </c>
      <c r="F52" s="4" t="inlineStr">
        <is>
          <t>500.00</t>
        </is>
      </c>
    </row>
    <row collapsed="false" customFormat="false" customHeight="false" hidden="false" ht="12.1" outlineLevel="0" r="53">
      <c r="A53" s="5" t="s">
        <f>=HYPERLINK("https://leilaoonline.net/lote/detalhe/49244", "3043")</f>
      </c>
      <c r="B53" s="4" t="s">
        <f>=HYPERLINK("https://leilaoonline.net/lote/detalhe/49244", "TRATOR Case Maxxum 180 4x4, ANO 2010, .FR102821, UND BARRA")</f>
      </c>
      <c r="C53" s="4" t="inlineStr">
        <is>
          <t>Vendido</t>
        </is>
      </c>
      <c r="D53" s="4" t="inlineStr">
        <is>
          <t>50</t>
        </is>
      </c>
      <c r="E53" s="5" t="inlineStr">
        <is>
          <t>42.000,00</t>
        </is>
      </c>
      <c r="F53" s="4" t="inlineStr">
        <is>
          <t>500.00</t>
        </is>
      </c>
    </row>
    <row collapsed="false" customFormat="false" customHeight="false" hidden="false" ht="12.1" outlineLevel="0" r="54">
      <c r="A54" s="5" t="s">
        <f>=HYPERLINK("https://leilaoonline.net/lote/detalhe/50057", "3045")</f>
      </c>
      <c r="B54" s="4" t="s">
        <f>=HYPERLINK("https://leilaoonline.net/lote/detalhe/50057", "70 TUBOS DE ALUMÍNIO ( 6 Mts ), S/FR, UND BARRA (quantidade e medida Aproximadas)")</f>
      </c>
      <c r="C54" s="4" t="inlineStr">
        <is>
          <t>Vendido</t>
        </is>
      </c>
      <c r="D54" s="4" t="inlineStr">
        <is>
          <t>53</t>
        </is>
      </c>
      <c r="E54" s="5" t="inlineStr">
        <is>
          <t>9.450,00</t>
        </is>
      </c>
      <c r="F54" s="4" t="inlineStr">
        <is>
          <t>250.00</t>
        </is>
      </c>
    </row>
    <row collapsed="false" customFormat="false" customHeight="false" hidden="false" ht="12.1" outlineLevel="0" r="55">
      <c r="A55" s="5" t="s">
        <f>=HYPERLINK("https://leilaoonline.net/lote/detalhe/49605", "3046")</f>
      </c>
      <c r="B55" s="4" t="s">
        <f>=HYPERLINK("https://leilaoonline.net/lote/detalhe/49605", "47 CILINDROS (GARRAFA HIDRÁULICAS), S/FR, UND BARRA")</f>
      </c>
      <c r="C55" s="4" t="inlineStr">
        <is>
          <t>Vendido</t>
        </is>
      </c>
      <c r="D55" s="4" t="inlineStr">
        <is>
          <t>13</t>
        </is>
      </c>
      <c r="E55" s="5" t="inlineStr">
        <is>
          <t>2.850,00</t>
        </is>
      </c>
      <c r="F55" s="4" t="inlineStr">
        <is>
          <t>150.00</t>
        </is>
      </c>
    </row>
    <row collapsed="false" customFormat="false" customHeight="false" hidden="false" ht="12.1" outlineLevel="0" r="56">
      <c r="A56" s="5" t="s">
        <f>=HYPERLINK("https://leilaoonline.net/lote/detalhe/50019", "3047")</f>
      </c>
      <c r="B56" s="4" t="s">
        <f>=HYPERLINK("https://leilaoonline.net/lote/detalhe/50019", "2 BOMBAS  HIDROJATO, PATR.71997/71999, UND BARRA")</f>
      </c>
      <c r="C56" s="4" t="inlineStr">
        <is>
          <t>Vendido</t>
        </is>
      </c>
      <c r="D56" s="4" t="inlineStr">
        <is>
          <t>36</t>
        </is>
      </c>
      <c r="E56" s="5" t="inlineStr">
        <is>
          <t>6.000,00</t>
        </is>
      </c>
      <c r="F56" s="4" t="inlineStr">
        <is>
          <t>150.00</t>
        </is>
      </c>
    </row>
    <row collapsed="false" customFormat="false" customHeight="false" hidden="false" ht="12.1" outlineLevel="0" r="57">
      <c r="A57" s="5" t="s">
        <f>=HYPERLINK("https://leilaoonline.net/lote/detalhe/50104", "3616")</f>
      </c>
      <c r="B57" s="4" t="s">
        <f>=HYPERLINK("https://leilaoonline.net/lote/detalhe/50104", " CASE MAXXUM 180 4X4, ANO 2010, FR102829, UND BARRA")</f>
      </c>
      <c r="C57" s="4" t="inlineStr">
        <is>
          <t>Vendido</t>
        </is>
      </c>
      <c r="D57" s="4" t="inlineStr">
        <is>
          <t>55</t>
        </is>
      </c>
      <c r="E57" s="5" t="inlineStr">
        <is>
          <t>44.500,00</t>
        </is>
      </c>
      <c r="F57" s="4" t="inlineStr">
        <is>
          <t>500.00</t>
        </is>
      </c>
    </row>
    <row collapsed="false" customFormat="false" customHeight="false" hidden="false" ht="12.1" outlineLevel="0" r="58">
      <c r="A58" s="5" t="s">
        <f>=HYPERLINK("https://leilaoonline.net/lote/detalhe/49239", "3686")</f>
      </c>
      <c r="B58" s="4" t="s">
        <f>=HYPERLINK("https://leilaoonline.net/lote/detalhe/49239", "Reboque Randon 8,20 M, FR96842, UND BARRA")</f>
      </c>
      <c r="C58" s="4" t="inlineStr">
        <is>
          <t>Não vendido</t>
        </is>
      </c>
      <c r="D58" s="4" t="inlineStr">
        <is>
          <t>15</t>
        </is>
      </c>
      <c r="E58" s="5" t="inlineStr">
        <is>
          <t>12.250,00</t>
        </is>
      </c>
      <c r="F58" s="4" t="inlineStr">
        <is>
          <t>250.00</t>
        </is>
      </c>
    </row>
    <row collapsed="false" customFormat="false" customHeight="false" hidden="false" ht="12.1" outlineLevel="0" r="59">
      <c r="A59" s="5" t="s">
        <f>=HYPERLINK("https://leilaoonline.net/lote/detalhe/50056", "3715")</f>
      </c>
      <c r="B59" s="4" t="s">
        <f>=HYPERLINK("https://leilaoonline.net/lote/detalhe/50056", " 2 DOLLY (SEM DOCUMENTO), LOC. MATÃO")</f>
      </c>
      <c r="C59" s="4" t="inlineStr">
        <is>
          <t>Vendido</t>
        </is>
      </c>
      <c r="D59" s="4" t="inlineStr">
        <is>
          <t>52</t>
        </is>
      </c>
      <c r="E59" s="5" t="inlineStr">
        <is>
          <t>22.250,00</t>
        </is>
      </c>
      <c r="F59" s="4" t="inlineStr">
        <is>
          <t>250.00</t>
        </is>
      </c>
    </row>
    <row collapsed="false" customFormat="false" customHeight="false" hidden="false" ht="12.1" outlineLevel="0" r="60">
      <c r="A60" s="5" t="s">
        <f>=HYPERLINK("https://leilaoonline.net/lote/detalhe/48584", "4022")</f>
      </c>
      <c r="B60" s="4" t="s">
        <f>=HYPERLINK("https://leilaoonline.net/lote/detalhe/48584", " TRANSBORDO ATA 10T, ANO 2009, FR19876, UND PARAÍSO")</f>
      </c>
      <c r="C60" s="4" t="inlineStr">
        <is>
          <t>Não vendido</t>
        </is>
      </c>
      <c r="D60" s="4" t="inlineStr">
        <is>
          <t>0</t>
        </is>
      </c>
      <c r="E60" s="5" t="inlineStr">
        <is>
          <t>4.750,00</t>
        </is>
      </c>
      <c r="F60" s="4" t="inlineStr">
        <is>
          <t>250.00</t>
        </is>
      </c>
    </row>
    <row collapsed="false" customFormat="false" customHeight="false" hidden="false" ht="12.1" outlineLevel="0" r="61">
      <c r="A61" s="5" t="s">
        <f>=HYPERLINK("https://leilaoonline.net/lote/detalhe/48603", "4026")</f>
      </c>
      <c r="B61" s="4" t="s">
        <f>=HYPERLINK("https://leilaoonline.net/lote/detalhe/48603", " TRANSBORDO SANTAL10T, ANO 2012, FR19925, UND PARAÍSO")</f>
      </c>
      <c r="C61" s="4" t="inlineStr">
        <is>
          <t>Não vendido</t>
        </is>
      </c>
      <c r="D61" s="4" t="inlineStr">
        <is>
          <t>3</t>
        </is>
      </c>
      <c r="E61" s="5" t="inlineStr">
        <is>
          <t>5.250,00</t>
        </is>
      </c>
      <c r="F61" s="4" t="inlineStr">
        <is>
          <t>250.00</t>
        </is>
      </c>
    </row>
    <row collapsed="false" customFormat="false" customHeight="false" hidden="false" ht="12.1" outlineLevel="0" r="62">
      <c r="A62" s="5" t="s">
        <f>=HYPERLINK("https://leilaoonline.net/lote/detalhe/48582", "4028")</f>
      </c>
      <c r="B62" s="4" t="s">
        <f>=HYPERLINK("https://leilaoonline.net/lote/detalhe/48582", " TRANSBORDO ATA 10T, ANO 2009, FR19872, UND PARAÍSO")</f>
      </c>
      <c r="C62" s="4" t="inlineStr">
        <is>
          <t>Não vendido</t>
        </is>
      </c>
      <c r="D62" s="4" t="inlineStr">
        <is>
          <t>0</t>
        </is>
      </c>
      <c r="E62" s="5" t="inlineStr">
        <is>
          <t>4.750,00</t>
        </is>
      </c>
      <c r="F62" s="4" t="inlineStr">
        <is>
          <t>250.00</t>
        </is>
      </c>
    </row>
    <row collapsed="false" customFormat="false" customHeight="false" hidden="false" ht="12.1" outlineLevel="0" r="63">
      <c r="A63" s="5" t="s">
        <f>=HYPERLINK("https://leilaoonline.net/lote/detalhe/48579", "4030")</f>
      </c>
      <c r="B63" s="4" t="s">
        <f>=HYPERLINK("https://leilaoonline.net/lote/detalhe/48579", " TRANSBORDO ATA 10T, ANO 2009, FR19873, UND PARAÍSO")</f>
      </c>
      <c r="C63" s="4" t="inlineStr">
        <is>
          <t>Não vendido</t>
        </is>
      </c>
      <c r="D63" s="4" t="inlineStr">
        <is>
          <t>0</t>
        </is>
      </c>
      <c r="E63" s="5" t="inlineStr">
        <is>
          <t>4.750,00</t>
        </is>
      </c>
      <c r="F63" s="4" t="inlineStr">
        <is>
          <t>250.00</t>
        </is>
      </c>
    </row>
    <row collapsed="false" customFormat="false" customHeight="false" hidden="false" ht="12.1" outlineLevel="0" r="64">
      <c r="A64" s="5" t="s">
        <f>=HYPERLINK("https://leilaoonline.net/lote/detalhe/48600", "4033")</f>
      </c>
      <c r="B64" s="4" t="s">
        <f>=HYPERLINK("https://leilaoonline.net/lote/detalhe/48600", " TRANSBORDO SANTAL10T, ANO 2012, FR19906, UND PARAÍSO")</f>
      </c>
      <c r="C64" s="4" t="inlineStr">
        <is>
          <t>Não vendido</t>
        </is>
      </c>
      <c r="D64" s="4" t="inlineStr">
        <is>
          <t>1</t>
        </is>
      </c>
      <c r="E64" s="5" t="inlineStr">
        <is>
          <t>4.750,00</t>
        </is>
      </c>
      <c r="F64" s="4" t="inlineStr">
        <is>
          <t>250.00</t>
        </is>
      </c>
    </row>
    <row collapsed="false" customFormat="false" customHeight="false" hidden="false" ht="12.1" outlineLevel="0" r="65">
      <c r="A65" s="5" t="s">
        <f>=HYPERLINK("https://leilaoonline.net/lote/detalhe/48619", "4036")</f>
      </c>
      <c r="B65" s="4" t="s">
        <f>=HYPERLINK("https://leilaoonline.net/lote/detalhe/48619", " BRAÇO  DE PULVERIZADOR, S/FR, UND PARAÍSO")</f>
      </c>
      <c r="C65" s="4" t="inlineStr">
        <is>
          <t>Vendido</t>
        </is>
      </c>
      <c r="D65" s="4" t="inlineStr">
        <is>
          <t>5</t>
        </is>
      </c>
      <c r="E65" s="5" t="inlineStr">
        <is>
          <t>1.700,00</t>
        </is>
      </c>
      <c r="F65" s="4" t="inlineStr">
        <is>
          <t>150.00</t>
        </is>
      </c>
    </row>
    <row collapsed="false" customFormat="false" customHeight="false" hidden="false" ht="12.1" outlineLevel="0" r="66">
      <c r="A66" s="5" t="s">
        <f>=HYPERLINK("https://leilaoonline.net/lote/detalhe/48616", "4051")</f>
      </c>
      <c r="B66" s="4" t="s">
        <f>=HYPERLINK("https://leilaoonline.net/lote/detalhe/48616", " TRATOR VALTRA BM 100 VENDA SEM IMPLEMENTO, ANO, FR19701, UND PARAÍSO")</f>
      </c>
      <c r="C66" s="4" t="inlineStr">
        <is>
          <t>Vendido</t>
        </is>
      </c>
      <c r="D66" s="4" t="inlineStr">
        <is>
          <t>92</t>
        </is>
      </c>
      <c r="E66" s="5" t="inlineStr">
        <is>
          <t>68.000,00</t>
        </is>
      </c>
      <c r="F66" s="4" t="inlineStr">
        <is>
          <t>500.00</t>
        </is>
      </c>
    </row>
    <row collapsed="false" customFormat="false" customHeight="false" hidden="false" ht="12.1" outlineLevel="0" r="67">
      <c r="A67" s="5" t="s">
        <f>=HYPERLINK("https://leilaoonline.net/lote/detalhe/48590", "4056")</f>
      </c>
      <c r="B67" s="4" t="s">
        <f>=HYPERLINK("https://leilaoonline.net/lote/detalhe/48590", " 2 TRANSBORDO ATA 10T, ANO 2009, FR19882/19883, UND PARAÍSO")</f>
      </c>
      <c r="C67" s="4" t="inlineStr">
        <is>
          <t>Não vendido</t>
        </is>
      </c>
      <c r="D67" s="4" t="inlineStr">
        <is>
          <t>0</t>
        </is>
      </c>
      <c r="E67" s="5" t="inlineStr">
        <is>
          <t>8.500,00</t>
        </is>
      </c>
      <c r="F67" s="4" t="inlineStr">
        <is>
          <t>500.00</t>
        </is>
      </c>
    </row>
    <row collapsed="false" customFormat="false" customHeight="false" hidden="false" ht="12.1" outlineLevel="0" r="68">
      <c r="A68" s="5" t="s">
        <f>=HYPERLINK("https://leilaoonline.net/lote/detalhe/48599", "4057")</f>
      </c>
      <c r="B68" s="4" t="s">
        <f>=HYPERLINK("https://leilaoonline.net/lote/detalhe/48599", " TRANSBORDO SANTAL10T, ANO 2012, FR19921, UND PARAÍSO")</f>
      </c>
      <c r="C68" s="4" t="inlineStr">
        <is>
          <t>Não vendido</t>
        </is>
      </c>
      <c r="D68" s="4" t="inlineStr">
        <is>
          <t>1</t>
        </is>
      </c>
      <c r="E68" s="5" t="inlineStr">
        <is>
          <t>5.250,00</t>
        </is>
      </c>
      <c r="F68" s="4" t="inlineStr">
        <is>
          <t>250.00</t>
        </is>
      </c>
    </row>
    <row collapsed="false" customFormat="false" customHeight="false" hidden="false" ht="12.1" outlineLevel="0" r="69">
      <c r="A69" s="5" t="s">
        <f>=HYPERLINK("https://leilaoonline.net/lote/detalhe/48591", "4058")</f>
      </c>
      <c r="B69" s="4" t="s">
        <f>=HYPERLINK("https://leilaoonline.net/lote/detalhe/48591", " 2 TRANSBORDO ATA 10T, ANO 2009, FR19870/19871, UND PARAÍSO")</f>
      </c>
      <c r="C69" s="4" t="inlineStr">
        <is>
          <t>Não vendido</t>
        </is>
      </c>
      <c r="D69" s="4" t="inlineStr">
        <is>
          <t>0</t>
        </is>
      </c>
      <c r="E69" s="5" t="inlineStr">
        <is>
          <t>8.500,00</t>
        </is>
      </c>
      <c r="F69" s="4" t="inlineStr">
        <is>
          <t>500.00</t>
        </is>
      </c>
    </row>
    <row collapsed="false" customFormat="false" customHeight="false" hidden="false" ht="12.1" outlineLevel="0" r="70">
      <c r="A70" s="5" t="s">
        <f>=HYPERLINK("https://leilaoonline.net/lote/detalhe/48583", "4059")</f>
      </c>
      <c r="B70" s="4" t="s">
        <f>=HYPERLINK("https://leilaoonline.net/lote/detalhe/48583", " 2 TRANSBORDO SANTAL10T, ANO 2012, FR19920/040, (VENDA SEM PNEUS), UND PARAÍSO")</f>
      </c>
      <c r="C70" s="4" t="inlineStr">
        <is>
          <t>Não vendido</t>
        </is>
      </c>
      <c r="D70" s="4" t="inlineStr">
        <is>
          <t>0</t>
        </is>
      </c>
      <c r="E70" s="5" t="inlineStr">
        <is>
          <t>8.500,00</t>
        </is>
      </c>
      <c r="F70" s="4" t="inlineStr">
        <is>
          <t>500.00</t>
        </is>
      </c>
    </row>
    <row collapsed="false" customFormat="false" customHeight="false" hidden="false" ht="12.1" outlineLevel="0" r="71">
      <c r="A71" s="5" t="s">
        <f>=HYPERLINK("https://leilaoonline.net/lote/detalhe/48596", "4060")</f>
      </c>
      <c r="B71" s="4" t="s">
        <f>=HYPERLINK("https://leilaoonline.net/lote/detalhe/48596", " TRANSBORDO ATA 10T, ANO 2011, FR19896, UND PARAÍSO")</f>
      </c>
      <c r="C71" s="4" t="inlineStr">
        <is>
          <t>Não vendido</t>
        </is>
      </c>
      <c r="D71" s="4" t="inlineStr">
        <is>
          <t>0</t>
        </is>
      </c>
      <c r="E71" s="5" t="inlineStr">
        <is>
          <t>4.750,00</t>
        </is>
      </c>
      <c r="F71" s="4" t="inlineStr">
        <is>
          <t>250.00</t>
        </is>
      </c>
    </row>
    <row collapsed="false" customFormat="false" customHeight="false" hidden="false" ht="12.1" outlineLevel="0" r="72">
      <c r="A72" s="5" t="s">
        <f>=HYPERLINK("https://leilaoonline.net/lote/detalhe/48594", "4063")</f>
      </c>
      <c r="B72" s="4" t="s">
        <f>=HYPERLINK("https://leilaoonline.net/lote/detalhe/48594", " TRANSBORDO ATA 10T, ANO 2011, FR19889, UND PARAÍSO")</f>
      </c>
      <c r="C72" s="4" t="inlineStr">
        <is>
          <t>Não vendido</t>
        </is>
      </c>
      <c r="D72" s="4" t="inlineStr">
        <is>
          <t>0</t>
        </is>
      </c>
      <c r="E72" s="5" t="inlineStr">
        <is>
          <t>4.750,00</t>
        </is>
      </c>
      <c r="F72" s="4" t="inlineStr">
        <is>
          <t>250.00</t>
        </is>
      </c>
    </row>
    <row collapsed="false" customFormat="false" customHeight="false" hidden="false" ht="12.1" outlineLevel="0" r="73">
      <c r="A73" s="5" t="s">
        <f>=HYPERLINK("https://leilaoonline.net/lote/detalhe/48592", "4064")</f>
      </c>
      <c r="B73" s="4" t="s">
        <f>=HYPERLINK("https://leilaoonline.net/lote/detalhe/48592", " TRANSBORDO ATA 10T, ANO 2009, FR19884, UND PARAÍSO")</f>
      </c>
      <c r="C73" s="4" t="inlineStr">
        <is>
          <t>Não vendido</t>
        </is>
      </c>
      <c r="D73" s="4" t="inlineStr">
        <is>
          <t>0</t>
        </is>
      </c>
      <c r="E73" s="5" t="inlineStr">
        <is>
          <t>4.750,00</t>
        </is>
      </c>
      <c r="F73" s="4" t="inlineStr">
        <is>
          <t>250.00</t>
        </is>
      </c>
    </row>
    <row collapsed="false" customFormat="false" customHeight="false" hidden="false" ht="12.1" outlineLevel="0" r="74">
      <c r="A74" s="5" t="s">
        <f>=HYPERLINK("https://leilaoonline.net/lote/detalhe/48598", "4065")</f>
      </c>
      <c r="B74" s="4" t="s">
        <f>=HYPERLINK("https://leilaoonline.net/lote/detalhe/48598", " TRANSBORDO SERMAG12 T, ANO 2012, FR101971, UND PARAÍSO")</f>
      </c>
      <c r="C74" s="4" t="inlineStr">
        <is>
          <t>Não vendido</t>
        </is>
      </c>
      <c r="D74" s="4" t="inlineStr">
        <is>
          <t>0</t>
        </is>
      </c>
      <c r="E74" s="5" t="inlineStr">
        <is>
          <t>4.750,00</t>
        </is>
      </c>
      <c r="F74" s="4" t="inlineStr">
        <is>
          <t>250.00</t>
        </is>
      </c>
    </row>
    <row collapsed="false" customFormat="false" customHeight="false" hidden="false" ht="12.1" outlineLevel="0" r="75">
      <c r="A75" s="5" t="s">
        <f>=HYPERLINK("https://leilaoonline.net/lote/detalhe/48597", "4066")</f>
      </c>
      <c r="B75" s="4" t="s">
        <f>=HYPERLINK("https://leilaoonline.net/lote/detalhe/48597", " TRANSBORDO ATA 10T, ANO 2011, FR19899, UND PARAÍSO")</f>
      </c>
      <c r="C75" s="4" t="inlineStr">
        <is>
          <t>Não vendido</t>
        </is>
      </c>
      <c r="D75" s="4" t="inlineStr">
        <is>
          <t>0</t>
        </is>
      </c>
      <c r="E75" s="5" t="inlineStr">
        <is>
          <t>4.750,00</t>
        </is>
      </c>
      <c r="F75" s="4" t="inlineStr">
        <is>
          <t>250.00</t>
        </is>
      </c>
    </row>
    <row collapsed="false" customFormat="false" customHeight="false" hidden="false" ht="12.1" outlineLevel="0" r="76">
      <c r="A76" s="5" t="s">
        <f>=HYPERLINK("https://leilaoonline.net/lote/detalhe/48593", "4067")</f>
      </c>
      <c r="B76" s="4" t="s">
        <f>=HYPERLINK("https://leilaoonline.net/lote/detalhe/48593", " TRANSBORDO ATA 10T, ANO 2009, FR19885, UND PARAÍSO")</f>
      </c>
      <c r="C76" s="4" t="inlineStr">
        <is>
          <t>Não vendido</t>
        </is>
      </c>
      <c r="D76" s="4" t="inlineStr">
        <is>
          <t>0</t>
        </is>
      </c>
      <c r="E76" s="5" t="inlineStr">
        <is>
          <t>4.750,00</t>
        </is>
      </c>
      <c r="F76" s="4" t="inlineStr">
        <is>
          <t>250.00</t>
        </is>
      </c>
    </row>
    <row collapsed="false" customFormat="false" customHeight="false" hidden="false" ht="12.1" outlineLevel="0" r="77">
      <c r="A77" s="5" t="s">
        <f>=HYPERLINK("https://leilaoonline.net/lote/detalhe/48581", "4068")</f>
      </c>
      <c r="B77" s="4" t="s">
        <f>=HYPERLINK("https://leilaoonline.net/lote/detalhe/48581", " TRANSBORDO ATA 10T, ANO 2007, FR19857, UND PARAÍSO")</f>
      </c>
      <c r="C77" s="4" t="inlineStr">
        <is>
          <t>Não vendido</t>
        </is>
      </c>
      <c r="D77" s="4" t="inlineStr">
        <is>
          <t>0</t>
        </is>
      </c>
      <c r="E77" s="5" t="inlineStr">
        <is>
          <t>4.750,00</t>
        </is>
      </c>
      <c r="F77" s="4" t="inlineStr">
        <is>
          <t>250.00</t>
        </is>
      </c>
    </row>
    <row collapsed="false" customFormat="false" customHeight="false" hidden="false" ht="12.1" outlineLevel="0" r="78">
      <c r="A78" s="5" t="s">
        <f>=HYPERLINK("https://leilaoonline.net/lote/detalhe/48615", "4069")</f>
      </c>
      <c r="B78" s="4" t="s">
        <f>=HYPERLINK("https://leilaoonline.net/lote/detalhe/48615", " TRATOR CASE MX 235 MAGUM 4X4 , ANO 2014,  FR10760, UND PARAÍSO")</f>
      </c>
      <c r="C78" s="4" t="inlineStr">
        <is>
          <t>Não vendido</t>
        </is>
      </c>
      <c r="D78" s="4" t="inlineStr">
        <is>
          <t>91</t>
        </is>
      </c>
      <c r="E78" s="5" t="inlineStr">
        <is>
          <t>76.500,00</t>
        </is>
      </c>
      <c r="F78" s="4" t="inlineStr">
        <is>
          <t>500.00</t>
        </is>
      </c>
    </row>
    <row collapsed="false" customFormat="false" customHeight="false" hidden="false" ht="12.1" outlineLevel="0" r="79">
      <c r="A79" s="5" t="s">
        <f>=HYPERLINK("https://leilaoonline.net/lote/detalhe/48614", "4070")</f>
      </c>
      <c r="B79" s="4" t="s">
        <f>=HYPERLINK("https://leilaoonline.net/lote/detalhe/48614", " TRATOR VALTRA 210 4X4, ANO 2014, FR116525, UND PARAÍSO")</f>
      </c>
      <c r="C79" s="4" t="inlineStr">
        <is>
          <t>Vendido</t>
        </is>
      </c>
      <c r="D79" s="4" t="inlineStr">
        <is>
          <t>92</t>
        </is>
      </c>
      <c r="E79" s="5" t="inlineStr">
        <is>
          <t>75.000,00</t>
        </is>
      </c>
      <c r="F79" s="4" t="inlineStr">
        <is>
          <t>500.00</t>
        </is>
      </c>
    </row>
    <row collapsed="false" customFormat="false" customHeight="false" hidden="false" ht="12.1" outlineLevel="0" r="80">
      <c r="A80" s="5" t="s">
        <f>=HYPERLINK("https://leilaoonline.net/lote/detalhe/48617", "4071")</f>
      </c>
      <c r="B80" s="4" t="s">
        <f>=HYPERLINK("https://leilaoonline.net/lote/detalhe/48617", " TRATOR VALTRA 210 4X4, ANO 2014, FR106664, UND PARAÍSO")</f>
      </c>
      <c r="C80" s="4" t="inlineStr">
        <is>
          <t>Não vendido</t>
        </is>
      </c>
      <c r="D80" s="4" t="inlineStr">
        <is>
          <t>118</t>
        </is>
      </c>
      <c r="E80" s="5" t="inlineStr">
        <is>
          <t>81.500,00</t>
        </is>
      </c>
      <c r="F80" s="4" t="inlineStr">
        <is>
          <t>500.00</t>
        </is>
      </c>
    </row>
    <row collapsed="false" customFormat="false" customHeight="false" hidden="false" ht="12.1" outlineLevel="0" r="81">
      <c r="A81" s="5" t="s">
        <f>=HYPERLINK("https://leilaoonline.net/lote/detalhe/48595", "4072")</f>
      </c>
      <c r="B81" s="4" t="s">
        <f>=HYPERLINK("https://leilaoonline.net/lote/detalhe/48595", " TRANSBORDO ATA 10T, ANO 2011, FR19891, UND PARAÍSO")</f>
      </c>
      <c r="C81" s="4" t="inlineStr">
        <is>
          <t>Não vendido</t>
        </is>
      </c>
      <c r="D81" s="4" t="inlineStr">
        <is>
          <t>1</t>
        </is>
      </c>
      <c r="E81" s="5" t="inlineStr">
        <is>
          <t>4.750,00</t>
        </is>
      </c>
      <c r="F81" s="4" t="inlineStr">
        <is>
          <t>250.00</t>
        </is>
      </c>
    </row>
    <row collapsed="false" customFormat="false" customHeight="false" hidden="false" ht="12.1" outlineLevel="0" r="82">
      <c r="A82" s="5" t="s">
        <f>=HYPERLINK("https://leilaoonline.net/lote/detalhe/48580", "4073")</f>
      </c>
      <c r="B82" s="4" t="s">
        <f>=HYPERLINK("https://leilaoonline.net/lote/detalhe/48580", " 2 TRANSBORDO SANTAL10T, ANO 2012, FR19901/19913, UND PARAÍSO")</f>
      </c>
      <c r="C82" s="4" t="inlineStr">
        <is>
          <t>Não vendido</t>
        </is>
      </c>
      <c r="D82" s="4" t="inlineStr">
        <is>
          <t>27</t>
        </is>
      </c>
      <c r="E82" s="5" t="inlineStr">
        <is>
          <t>21.500,00</t>
        </is>
      </c>
      <c r="F82" s="4" t="inlineStr">
        <is>
          <t>500.00</t>
        </is>
      </c>
    </row>
    <row collapsed="false" customFormat="false" customHeight="false" hidden="false" ht="12.1" outlineLevel="0" r="83">
      <c r="A83" s="5" t="s">
        <f>=HYPERLINK("https://leilaoonline.net/lote/detalhe/48587", "4074")</f>
      </c>
      <c r="B83" s="4" t="s">
        <f>=HYPERLINK("https://leilaoonline.net/lote/detalhe/48587", " 2 TRANSBORDO ATA 10T, ANO 2007, FR19851/19851, UND PARAÍSO")</f>
      </c>
      <c r="C83" s="4" t="inlineStr">
        <is>
          <t>Não vendido</t>
        </is>
      </c>
      <c r="D83" s="4" t="inlineStr">
        <is>
          <t>9</t>
        </is>
      </c>
      <c r="E83" s="5" t="inlineStr">
        <is>
          <t>12.500,00</t>
        </is>
      </c>
      <c r="F83" s="4" t="inlineStr">
        <is>
          <t>500.00</t>
        </is>
      </c>
    </row>
    <row collapsed="false" customFormat="false" customHeight="false" hidden="false" ht="12.1" outlineLevel="0" r="84">
      <c r="A84" s="5" t="s">
        <f>=HYPERLINK("https://leilaoonline.net/lote/detalhe/48624", "4075")</f>
      </c>
      <c r="B84" s="4" t="s">
        <f>=HYPERLINK("https://leilaoonline.net/lote/detalhe/48624", " SULCADOR, FR14088, UND PARAÍSO")</f>
      </c>
      <c r="C84" s="4" t="inlineStr">
        <is>
          <t>Não vendido</t>
        </is>
      </c>
      <c r="D84" s="4" t="inlineStr">
        <is>
          <t>10</t>
        </is>
      </c>
      <c r="E84" s="5" t="inlineStr">
        <is>
          <t>1.700,00</t>
        </is>
      </c>
      <c r="F84" s="4" t="inlineStr">
        <is>
          <t>150.00</t>
        </is>
      </c>
    </row>
    <row collapsed="false" customFormat="false" customHeight="false" hidden="false" ht="12.1" outlineLevel="0" r="85">
      <c r="A85" s="5" t="s">
        <f>=HYPERLINK("https://leilaoonline.net/lote/detalhe/48620", "4076")</f>
      </c>
      <c r="B85" s="4" t="s">
        <f>=HYPERLINK("https://leilaoonline.net/lote/detalhe/48620", " 1 SULCADOR E 1 COBRIDOR, FR603318/19932, UND PARAÍSO")</f>
      </c>
      <c r="C85" s="4" t="inlineStr">
        <is>
          <t>Não vendido</t>
        </is>
      </c>
      <c r="D85" s="4" t="inlineStr">
        <is>
          <t>22</t>
        </is>
      </c>
      <c r="E85" s="5" t="inlineStr">
        <is>
          <t>5.600,00</t>
        </is>
      </c>
      <c r="F85" s="4" t="inlineStr">
        <is>
          <t>150.00</t>
        </is>
      </c>
    </row>
    <row collapsed="false" customFormat="false" customHeight="false" hidden="false" ht="12.1" outlineLevel="0" r="86">
      <c r="A86" s="5" t="s">
        <f>=HYPERLINK("https://leilaoonline.net/lote/detalhe/48618", "4078")</f>
      </c>
      <c r="B86" s="4" t="s">
        <f>=HYPERLINK("https://leilaoonline.net/lote/detalhe/48618", " BRAÇO  DE PULVERIZADOR, S/FR, UND PARAÍSO")</f>
      </c>
      <c r="C86" s="4" t="inlineStr">
        <is>
          <t>Vendido</t>
        </is>
      </c>
      <c r="D86" s="4" t="inlineStr">
        <is>
          <t>13</t>
        </is>
      </c>
      <c r="E86" s="5" t="inlineStr">
        <is>
          <t>2.600,00</t>
        </is>
      </c>
      <c r="F86" s="4" t="inlineStr">
        <is>
          <t>150.00</t>
        </is>
      </c>
    </row>
    <row collapsed="false" customFormat="false" customHeight="false" hidden="false" ht="12.1" outlineLevel="0" r="87">
      <c r="A87" s="5" t="s">
        <f>=HYPERLINK("https://leilaoonline.net/lote/detalhe/48625", "4079")</f>
      </c>
      <c r="B87" s="4" t="s">
        <f>=HYPERLINK("https://leilaoonline.net/lote/detalhe/48625", " 1 IMPLEMENTO, 1 SUCATA DE BROCA E SUCATA DE SULCADOR, FR19944, UND PARAÍSO")</f>
      </c>
      <c r="C87" s="4" t="inlineStr">
        <is>
          <t>Vendido</t>
        </is>
      </c>
      <c r="D87" s="4" t="inlineStr">
        <is>
          <t>49</t>
        </is>
      </c>
      <c r="E87" s="5" t="inlineStr">
        <is>
          <t>8.900,00</t>
        </is>
      </c>
      <c r="F87" s="4" t="inlineStr">
        <is>
          <t>150.00</t>
        </is>
      </c>
    </row>
    <row collapsed="false" customFormat="false" customHeight="false" hidden="false" ht="12.1" outlineLevel="0" r="88">
      <c r="A88" s="5" t="s">
        <f>=HYPERLINK("https://leilaoonline.net/lote/detalhe/48622", "4080")</f>
      </c>
      <c r="B88" s="4" t="s">
        <f>=HYPERLINK("https://leilaoonline.net/lote/detalhe/48622", " 1 BRAÇO ARTICULADO, S/FR, UND PARAÍSO")</f>
      </c>
      <c r="C88" s="4" t="inlineStr">
        <is>
          <t>Vendido</t>
        </is>
      </c>
      <c r="D88" s="4" t="inlineStr">
        <is>
          <t>16</t>
        </is>
      </c>
      <c r="E88" s="5" t="inlineStr">
        <is>
          <t>2.750,00</t>
        </is>
      </c>
      <c r="F88" s="4" t="inlineStr">
        <is>
          <t>150.00</t>
        </is>
      </c>
    </row>
    <row collapsed="false" customFormat="false" customHeight="false" hidden="false" ht="12.1" outlineLevel="0" r="89">
      <c r="A89" s="5" t="s">
        <f>=HYPERLINK("https://leilaoonline.net/lote/detalhe/48621", "4081")</f>
      </c>
      <c r="B89" s="4" t="s">
        <f>=HYPERLINK("https://leilaoonline.net/lote/detalhe/48621", " 2 BRAÇO  DE PULVERIZADOR, S/FR, UND PARAÍSO")</f>
      </c>
      <c r="C89" s="4" t="inlineStr">
        <is>
          <t>Vendido</t>
        </is>
      </c>
      <c r="D89" s="4" t="inlineStr">
        <is>
          <t>3</t>
        </is>
      </c>
      <c r="E89" s="5" t="inlineStr">
        <is>
          <t>800,00</t>
        </is>
      </c>
      <c r="F89" s="4" t="inlineStr">
        <is>
          <t>150.00</t>
        </is>
      </c>
    </row>
    <row collapsed="false" customFormat="false" customHeight="false" hidden="false" ht="12.1" outlineLevel="0" r="90">
      <c r="A90" s="5" t="s">
        <f>=HYPERLINK("https://leilaoonline.net/lote/detalhe/48613", "4082")</f>
      </c>
      <c r="B90" s="4" t="s">
        <f>=HYPERLINK("https://leilaoonline.net/lote/detalhe/48613", " SUCATA DE TRATOR CASE MOD:MAXXUM 180 4X4 ANO:2012, FR19127, UND PARAÍSO")</f>
      </c>
      <c r="C90" s="4" t="inlineStr">
        <is>
          <t>Vendido</t>
        </is>
      </c>
      <c r="D90" s="4" t="inlineStr">
        <is>
          <t>11</t>
        </is>
      </c>
      <c r="E90" s="5" t="inlineStr">
        <is>
          <t>3.750,00</t>
        </is>
      </c>
      <c r="F90" s="4" t="inlineStr">
        <is>
          <t>150.00</t>
        </is>
      </c>
    </row>
    <row collapsed="false" customFormat="false" customHeight="false" hidden="false" ht="12.1" outlineLevel="0" r="91">
      <c r="A91" s="5" t="s">
        <f>=HYPERLINK("https://leilaoonline.net/lote/detalhe/48623", "4084")</f>
      </c>
      <c r="B91" s="4" t="s">
        <f>=HYPERLINK("https://leilaoonline.net/lote/detalhe/48623", " SUCATA DE MOTOR MWM, S/FR, UND PARAÍSO")</f>
      </c>
      <c r="C91" s="4" t="inlineStr">
        <is>
          <t>Vendido</t>
        </is>
      </c>
      <c r="D91" s="4" t="inlineStr">
        <is>
          <t>13</t>
        </is>
      </c>
      <c r="E91" s="5" t="inlineStr">
        <is>
          <t>2.150,00</t>
        </is>
      </c>
      <c r="F91" s="4" t="inlineStr">
        <is>
          <t>150.00</t>
        </is>
      </c>
    </row>
    <row collapsed="false" customFormat="false" customHeight="false" hidden="false" ht="12.1" outlineLevel="0" r="92">
      <c r="A92" s="5" t="s">
        <f>=HYPERLINK("https://leilaoonline.net/lote/detalhe/48588", "4839")</f>
      </c>
      <c r="B92" s="4" t="s">
        <f>=HYPERLINK("https://leilaoonline.net/lote/detalhe/48588", " CAMINHÃO VW/31.260 CNM 6X4 COMBOIO, ANO 2008/2009, FR19578, UND PARAÍSO")</f>
      </c>
      <c r="C92" s="4" t="inlineStr">
        <is>
          <t>Vendido</t>
        </is>
      </c>
      <c r="D92" s="4" t="inlineStr">
        <is>
          <t>138</t>
        </is>
      </c>
      <c r="E92" s="5" t="inlineStr">
        <is>
          <t>122.000,00</t>
        </is>
      </c>
      <c r="F92" s="4" t="inlineStr">
        <is>
          <t>1000.00</t>
        </is>
      </c>
    </row>
    <row collapsed="false" customFormat="false" customHeight="false" hidden="false" ht="12.1" outlineLevel="0" r="93">
      <c r="A93" s="5" t="s">
        <f>=HYPERLINK("https://leilaoonline.net/lote/detalhe/48578", "4861")</f>
      </c>
      <c r="B93" s="4" t="s">
        <f>=HYPERLINK("https://leilaoonline.net/lote/detalhe/48578", " TRANSBORDO ATA 10T, ANO 2007, FR19859, UND PARAÍSO")</f>
      </c>
      <c r="C93" s="4" t="inlineStr">
        <is>
          <t>Não vendido</t>
        </is>
      </c>
      <c r="D93" s="4" t="inlineStr">
        <is>
          <t>0</t>
        </is>
      </c>
      <c r="E93" s="5" t="inlineStr">
        <is>
          <t>4.750,00</t>
        </is>
      </c>
      <c r="F93" s="4" t="inlineStr">
        <is>
          <t>250.00</t>
        </is>
      </c>
    </row>
    <row collapsed="false" customFormat="false" customHeight="false" hidden="false" ht="12.1" outlineLevel="0" r="94">
      <c r="A94" s="5" t="s">
        <f>=HYPERLINK("https://leilaoonline.net/lote/detalhe/48602", "4863")</f>
      </c>
      <c r="B94" s="4" t="s">
        <f>=HYPERLINK("https://leilaoonline.net/lote/detalhe/48602", " TRANSBORDO ATA 10T, ANO 2008, FR20207, UND PARAÍSO")</f>
      </c>
      <c r="C94" s="4" t="inlineStr">
        <is>
          <t>Não vendido</t>
        </is>
      </c>
      <c r="D94" s="4" t="inlineStr">
        <is>
          <t>0</t>
        </is>
      </c>
      <c r="E94" s="5" t="inlineStr">
        <is>
          <t>4.750,00</t>
        </is>
      </c>
      <c r="F94" s="4" t="inlineStr">
        <is>
          <t>250.00</t>
        </is>
      </c>
    </row>
    <row collapsed="false" customFormat="false" customHeight="false" hidden="false" ht="12.1" outlineLevel="0" r="95">
      <c r="A95" s="5" t="s">
        <f>=HYPERLINK("https://leilaoonline.net/lote/detalhe/50101", "5016")</f>
      </c>
      <c r="B95" s="4" t="s">
        <f>=HYPERLINK("https://leilaoonline.net/lote/detalhe/50101", "(VENDA SEM PNEUS E RODAS) R/RANDOSP RQ CA, ANO 2010, FR70366, UND STA CÂNDIDA")</f>
      </c>
      <c r="C95" s="4" t="inlineStr">
        <is>
          <t>Vendido</t>
        </is>
      </c>
      <c r="D95" s="4" t="inlineStr">
        <is>
          <t>40</t>
        </is>
      </c>
      <c r="E95" s="5" t="inlineStr">
        <is>
          <t>32.000,00</t>
        </is>
      </c>
      <c r="F95" s="4" t="inlineStr">
        <is>
          <t>500.00</t>
        </is>
      </c>
    </row>
    <row collapsed="false" customFormat="false" customHeight="false" hidden="false" ht="12.1" outlineLevel="0" r="96">
      <c r="A96" s="5" t="s">
        <f>=HYPERLINK("https://leilaoonline.net/lote/detalhe/48550", "5030")</f>
      </c>
      <c r="B96" s="4" t="s">
        <f>=HYPERLINK("https://leilaoonline.net/lote/detalhe/48550", " TRATOR VALTRA 210 SÉRIE, ANO 2015, FR18070, UND STA CÂNDIDA")</f>
      </c>
      <c r="C96" s="4" t="inlineStr">
        <is>
          <t>Não vendido</t>
        </is>
      </c>
      <c r="D96" s="4" t="inlineStr">
        <is>
          <t>101</t>
        </is>
      </c>
      <c r="E96" s="5" t="inlineStr">
        <is>
          <t>63.500,00</t>
        </is>
      </c>
      <c r="F96" s="4" t="inlineStr">
        <is>
          <t>500.00</t>
        </is>
      </c>
    </row>
    <row collapsed="false" customFormat="false" customHeight="false" hidden="false" ht="12.1" outlineLevel="0" r="97">
      <c r="A97" s="5" t="s">
        <f>=HYPERLINK("https://leilaoonline.net/lote/detalhe/48567", "5031")</f>
      </c>
      <c r="B97" s="4" t="s">
        <f>=HYPERLINK("https://leilaoonline.net/lote/detalhe/48567", " TRATOR VALTRA 210 SÉRIE, ANO 2014,  FR173333, UND STA CÂNDIDA")</f>
      </c>
      <c r="C97" s="4" t="inlineStr">
        <is>
          <t>Não vendido</t>
        </is>
      </c>
      <c r="D97" s="4" t="inlineStr">
        <is>
          <t>128</t>
        </is>
      </c>
      <c r="E97" s="5" t="inlineStr">
        <is>
          <t>75.500,00</t>
        </is>
      </c>
      <c r="F97" s="4" t="inlineStr">
        <is>
          <t>500.00</t>
        </is>
      </c>
    </row>
    <row collapsed="false" customFormat="false" customHeight="false" hidden="false" ht="12.1" outlineLevel="0" r="98">
      <c r="A98" s="5" t="s">
        <f>=HYPERLINK("https://leilaoonline.net/lote/detalhe/48545", "5032")</f>
      </c>
      <c r="B98" s="4" t="s">
        <f>=HYPERLINK("https://leilaoonline.net/lote/detalhe/48545", " TRATOR VALTRA 210 SÉRIE V210374065, ANO 2014, FR31044, UND STA CÂNDIDA")</f>
      </c>
      <c r="C98" s="4" t="inlineStr">
        <is>
          <t>Vendido</t>
        </is>
      </c>
      <c r="D98" s="4" t="inlineStr">
        <is>
          <t>142</t>
        </is>
      </c>
      <c r="E98" s="5" t="inlineStr">
        <is>
          <t>81.000,00</t>
        </is>
      </c>
      <c r="F98" s="4" t="inlineStr">
        <is>
          <t>500.00</t>
        </is>
      </c>
    </row>
    <row collapsed="false" customFormat="false" customHeight="false" hidden="false" ht="12.1" outlineLevel="0" r="99">
      <c r="A99" s="5" t="s">
        <f>=HYPERLINK("https://leilaoonline.net/lote/detalhe/48557", "5033")</f>
      </c>
      <c r="B99" s="4" t="s">
        <f>=HYPERLINK("https://leilaoonline.net/lote/detalhe/48557", " TRATOR VALTRA 210 SÉRIE V210383444, ANO 2014, FR50835, UND STA CÂNDIDA")</f>
      </c>
      <c r="C99" s="4" t="inlineStr">
        <is>
          <t>Vendido</t>
        </is>
      </c>
      <c r="D99" s="4" t="inlineStr">
        <is>
          <t>128</t>
        </is>
      </c>
      <c r="E99" s="5" t="inlineStr">
        <is>
          <t>81.000,00</t>
        </is>
      </c>
      <c r="F99" s="4" t="inlineStr">
        <is>
          <t>500.00</t>
        </is>
      </c>
    </row>
    <row collapsed="false" customFormat="false" customHeight="false" hidden="false" ht="12.1" outlineLevel="0" r="100">
      <c r="A100" s="5" t="s">
        <f>=HYPERLINK("https://leilaoonline.net/lote/detalhe/48568", "5034")</f>
      </c>
      <c r="B100" s="4" t="s">
        <f>=HYPERLINK("https://leilaoonline.net/lote/detalhe/48568", " TRATOR VALTRA 210 SÉRIE , FR18029, UND STA CÂNDIDA")</f>
      </c>
      <c r="C100" s="4" t="inlineStr">
        <is>
          <t>Vendido</t>
        </is>
      </c>
      <c r="D100" s="4" t="inlineStr">
        <is>
          <t>141</t>
        </is>
      </c>
      <c r="E100" s="5" t="inlineStr">
        <is>
          <t>80.500,00</t>
        </is>
      </c>
      <c r="F100" s="4" t="inlineStr">
        <is>
          <t>500.00</t>
        </is>
      </c>
    </row>
    <row collapsed="false" customFormat="false" customHeight="false" hidden="false" ht="12.1" outlineLevel="0" r="101">
      <c r="A101" s="5" t="s">
        <f>=HYPERLINK("https://leilaoonline.net/lote/detalhe/48544", "5035")</f>
      </c>
      <c r="B101" s="4" t="s">
        <f>=HYPERLINK("https://leilaoonline.net/lote/detalhe/48544", " TRATOR VALTRA 210 SÉRIE, ANO 2015, FR18068, UND STA CÂNDIDA")</f>
      </c>
      <c r="C101" s="4" t="inlineStr">
        <is>
          <t>Não vendido</t>
        </is>
      </c>
      <c r="D101" s="4" t="inlineStr">
        <is>
          <t>154</t>
        </is>
      </c>
      <c r="E101" s="5" t="inlineStr">
        <is>
          <t>90.000,00</t>
        </is>
      </c>
      <c r="F101" s="4" t="inlineStr">
        <is>
          <t>500.00</t>
        </is>
      </c>
    </row>
    <row collapsed="false" customFormat="false" customHeight="false" hidden="false" ht="12.1" outlineLevel="0" r="102">
      <c r="A102" s="5" t="s">
        <f>=HYPERLINK("https://leilaoonline.net/lote/detalhe/48569", "5036")</f>
      </c>
      <c r="B102" s="4" t="s">
        <f>=HYPERLINK("https://leilaoonline.net/lote/detalhe/48569", " TRATOR VALTRA 210, ANO 2015, FR18062, UND STA CÂNDIDA")</f>
      </c>
      <c r="C102" s="4" t="inlineStr">
        <is>
          <t>Não vendido</t>
        </is>
      </c>
      <c r="D102" s="4" t="inlineStr">
        <is>
          <t>96</t>
        </is>
      </c>
      <c r="E102" s="5" t="inlineStr">
        <is>
          <t>74.500,00</t>
        </is>
      </c>
      <c r="F102" s="4" t="inlineStr">
        <is>
          <t>500.00</t>
        </is>
      </c>
    </row>
    <row collapsed="false" customFormat="false" customHeight="false" hidden="false" ht="12.1" outlineLevel="0" r="103">
      <c r="A103" s="5" t="s">
        <f>=HYPERLINK("https://leilaoonline.net/lote/detalhe/48570", "5037")</f>
      </c>
      <c r="B103" s="4" t="s">
        <f>=HYPERLINK("https://leilaoonline.net/lote/detalhe/48570", " TRATOR VALTRA 210, ANO 2014, FR106665, UND STA CÂNDIDA")</f>
      </c>
      <c r="C103" s="4" t="inlineStr">
        <is>
          <t>Vendido</t>
        </is>
      </c>
      <c r="D103" s="4" t="inlineStr">
        <is>
          <t>144</t>
        </is>
      </c>
      <c r="E103" s="5" t="inlineStr">
        <is>
          <t>93.500,00</t>
        </is>
      </c>
      <c r="F103" s="4" t="inlineStr">
        <is>
          <t>500.00</t>
        </is>
      </c>
    </row>
    <row collapsed="false" customFormat="false" customHeight="false" hidden="false" ht="12.1" outlineLevel="0" r="104">
      <c r="A104" s="5" t="s">
        <f>=HYPERLINK("https://leilaoonline.net/lote/detalhe/48547", "5038")</f>
      </c>
      <c r="B104" s="4" t="s">
        <f>=HYPERLINK("https://leilaoonline.net/lote/detalhe/48547", " CAMINHÃO VW/31.320 CNC 6X4, falta motor/câmbio e outros, ANO 2008, FR360151, UND STA CÂNDIDA")</f>
      </c>
      <c r="C104" s="4" t="inlineStr">
        <is>
          <t>Vendido</t>
        </is>
      </c>
      <c r="D104" s="4" t="inlineStr">
        <is>
          <t>86</t>
        </is>
      </c>
      <c r="E104" s="5" t="inlineStr">
        <is>
          <t>68.000,00</t>
        </is>
      </c>
      <c r="F104" s="4" t="inlineStr">
        <is>
          <t>500.00</t>
        </is>
      </c>
    </row>
    <row collapsed="false" customFormat="false" customHeight="false" hidden="false" ht="12.1" outlineLevel="0" r="105">
      <c r="A105" s="5" t="s">
        <f>=HYPERLINK("https://leilaoonline.net/lote/detalhe/48556", "5039")</f>
      </c>
      <c r="B105" s="4" t="s">
        <f>=HYPERLINK("https://leilaoonline.net/lote/detalhe/48556", " TRATOR CASE MXM 180 4X4 SÉRIE M64CC300439, FR19827, UND STA CÂNDIDA")</f>
      </c>
      <c r="C105" s="4" t="inlineStr">
        <is>
          <t>Não vendido</t>
        </is>
      </c>
      <c r="D105" s="4" t="inlineStr">
        <is>
          <t>55</t>
        </is>
      </c>
      <c r="E105" s="5" t="inlineStr">
        <is>
          <t>44.500,00</t>
        </is>
      </c>
      <c r="F105" s="4" t="inlineStr">
        <is>
          <t>500.00</t>
        </is>
      </c>
    </row>
    <row collapsed="false" customFormat="false" customHeight="false" hidden="false" ht="12.1" outlineLevel="0" r="106">
      <c r="A106" s="5" t="s">
        <f>=HYPERLINK("https://leilaoonline.net/lote/detalhe/48558", "5040")</f>
      </c>
      <c r="B106" s="4" t="s">
        <f>=HYPERLINK("https://leilaoonline.net/lote/detalhe/48558", " TRANSBORDO SEMARG 12T, FR101963, UND STA CÂNDIDA")</f>
      </c>
      <c r="C106" s="4" t="inlineStr">
        <is>
          <t>Não vendido</t>
        </is>
      </c>
      <c r="D106" s="4" t="inlineStr">
        <is>
          <t>0</t>
        </is>
      </c>
      <c r="E106" s="5" t="inlineStr">
        <is>
          <t>4.750,00</t>
        </is>
      </c>
      <c r="F106" s="4" t="inlineStr">
        <is>
          <t>250.00</t>
        </is>
      </c>
    </row>
    <row collapsed="false" customFormat="false" customHeight="false" hidden="false" ht="12.1" outlineLevel="0" r="107">
      <c r="A107" s="5" t="s">
        <f>=HYPERLINK("https://leilaoonline.net/lote/detalhe/48564", "5041")</f>
      </c>
      <c r="B107" s="4" t="s">
        <f>=HYPERLINK("https://leilaoonline.net/lote/detalhe/48564", " TRANSBORDO SEMARG, FR101945, UND STA CÂNDIDA")</f>
      </c>
      <c r="C107" s="4" t="inlineStr">
        <is>
          <t>Não vendido</t>
        </is>
      </c>
      <c r="D107" s="4" t="inlineStr">
        <is>
          <t>0</t>
        </is>
      </c>
      <c r="E107" s="5" t="inlineStr">
        <is>
          <t>4.750,00</t>
        </is>
      </c>
      <c r="F107" s="4" t="inlineStr">
        <is>
          <t>250.00</t>
        </is>
      </c>
    </row>
    <row collapsed="false" customFormat="false" customHeight="false" hidden="false" ht="12.1" outlineLevel="0" r="108">
      <c r="A108" s="5" t="s">
        <f>=HYPERLINK("https://leilaoonline.net/lote/detalhe/48548", "5042")</f>
      </c>
      <c r="B108" s="4" t="s">
        <f>=HYPERLINK("https://leilaoonline.net/lote/detalhe/48548", "VW/GOL 1.0 GIV, ANO 2012/2013, BRANCO, FLEX, FR19660, UND STA CÂNDIDA")</f>
      </c>
      <c r="C108" s="4" t="inlineStr">
        <is>
          <t>Não vendido</t>
        </is>
      </c>
      <c r="D108" s="4" t="inlineStr">
        <is>
          <t>10</t>
        </is>
      </c>
      <c r="E108" s="5" t="inlineStr">
        <is>
          <t>9.000,00</t>
        </is>
      </c>
      <c r="F108" s="4" t="inlineStr">
        <is>
          <t>250.00</t>
        </is>
      </c>
    </row>
    <row collapsed="false" customFormat="false" customHeight="false" hidden="false" ht="12.1" outlineLevel="0" r="109">
      <c r="A109" s="5" t="s">
        <f>=HYPERLINK("https://leilaoonline.net/lote/detalhe/48565", "5043")</f>
      </c>
      <c r="B109" s="4" t="s">
        <f>=HYPERLINK("https://leilaoonline.net/lote/detalhe/48565", " TRATOR CASE MXM 165 4X4 SÉRIE M64CC300441, FR19829, UND STA CÂNDIDA")</f>
      </c>
      <c r="C109" s="4" t="inlineStr">
        <is>
          <t>Vendido</t>
        </is>
      </c>
      <c r="D109" s="4" t="inlineStr">
        <is>
          <t>73</t>
        </is>
      </c>
      <c r="E109" s="5" t="inlineStr">
        <is>
          <t>54.500,00</t>
        </is>
      </c>
      <c r="F109" s="4" t="inlineStr">
        <is>
          <t>500.00</t>
        </is>
      </c>
    </row>
    <row collapsed="false" customFormat="false" customHeight="false" hidden="false" ht="12.1" outlineLevel="0" r="110">
      <c r="A110" s="5" t="s">
        <f>=HYPERLINK("https://leilaoonline.net/lote/detalhe/48561", "5044")</f>
      </c>
      <c r="B110" s="4" t="s">
        <f>=HYPERLINK("https://leilaoonline.net/lote/detalhe/48561", " TRANSBORDO SEMARG 12T, FR47020, UND STA CÂNDIDA")</f>
      </c>
      <c r="C110" s="4" t="inlineStr">
        <is>
          <t>Não vendido</t>
        </is>
      </c>
      <c r="D110" s="4" t="inlineStr">
        <is>
          <t>0</t>
        </is>
      </c>
      <c r="E110" s="5" t="inlineStr">
        <is>
          <t>4.750,00</t>
        </is>
      </c>
      <c r="F110" s="4" t="inlineStr">
        <is>
          <t>250.00</t>
        </is>
      </c>
    </row>
    <row collapsed="false" customFormat="false" customHeight="false" hidden="false" ht="12.1" outlineLevel="0" r="111">
      <c r="A111" s="5" t="s">
        <f>=HYPERLINK("https://leilaoonline.net/lote/detalhe/48562", "5045")</f>
      </c>
      <c r="B111" s="4" t="s">
        <f>=HYPERLINK("https://leilaoonline.net/lote/detalhe/48562", " TRANSBORDO SANTAL 12T, FR70599, UND STA CÂNDIDA")</f>
      </c>
      <c r="C111" s="4" t="inlineStr">
        <is>
          <t>Não vendido</t>
        </is>
      </c>
      <c r="D111" s="4" t="inlineStr">
        <is>
          <t>0</t>
        </is>
      </c>
      <c r="E111" s="5" t="inlineStr">
        <is>
          <t>4.750,00</t>
        </is>
      </c>
      <c r="F111" s="4" t="inlineStr">
        <is>
          <t>250.00</t>
        </is>
      </c>
    </row>
    <row collapsed="false" customFormat="false" customHeight="false" hidden="false" ht="12.1" outlineLevel="0" r="112">
      <c r="A112" s="5" t="s">
        <f>=HYPERLINK("https://leilaoonline.net/lote/detalhe/48552", "5046")</f>
      </c>
      <c r="B112" s="4" t="s">
        <f>=HYPERLINK("https://leilaoonline.net/lote/detalhe/48552", " CARROCERIA C.PICADA, S/FR, UND STA CÂNDIDA")</f>
      </c>
      <c r="C112" s="4" t="inlineStr">
        <is>
          <t>Não vendido</t>
        </is>
      </c>
      <c r="D112" s="4" t="inlineStr">
        <is>
          <t>2</t>
        </is>
      </c>
      <c r="E112" s="5" t="inlineStr">
        <is>
          <t>3.000,00</t>
        </is>
      </c>
      <c r="F112" s="4" t="inlineStr">
        <is>
          <t>250.00</t>
        </is>
      </c>
    </row>
    <row collapsed="false" customFormat="false" customHeight="false" hidden="false" ht="12.1" outlineLevel="0" r="113">
      <c r="A113" s="5" t="s">
        <f>=HYPERLINK("https://leilaoonline.net/lote/detalhe/48560", "5047")</f>
      </c>
      <c r="B113" s="4" t="s">
        <f>=HYPERLINK("https://leilaoonline.net/lote/detalhe/48560", " TRANSBORDO CIVEMASA 10T, FR20055/650692, UND STA CÂNDIDA")</f>
      </c>
      <c r="C113" s="4" t="inlineStr">
        <is>
          <t>Não vendido</t>
        </is>
      </c>
      <c r="D113" s="4" t="inlineStr">
        <is>
          <t>0</t>
        </is>
      </c>
      <c r="E113" s="5" t="inlineStr">
        <is>
          <t>4.750,00</t>
        </is>
      </c>
      <c r="F113" s="4" t="inlineStr">
        <is>
          <t>250.00</t>
        </is>
      </c>
    </row>
    <row collapsed="false" customFormat="false" customHeight="false" hidden="false" ht="12.1" outlineLevel="0" r="114">
      <c r="A114" s="5" t="s">
        <f>=HYPERLINK("https://leilaoonline.net/lote/detalhe/48574", "5048")</f>
      </c>
      <c r="B114" s="4" t="s">
        <f>=HYPERLINK("https://leilaoonline.net/lote/detalhe/48574", " SUCATA DIVERSAS: ROLAMENTO, CABO AÇO, MOTOR ELT, PORTAS, MANG. E OUTROS, S/FR, UND STA CÂNDIDA")</f>
      </c>
      <c r="C114" s="4" t="inlineStr">
        <is>
          <t>Vendido</t>
        </is>
      </c>
      <c r="D114" s="4" t="inlineStr">
        <is>
          <t>13</t>
        </is>
      </c>
      <c r="E114" s="5" t="inlineStr">
        <is>
          <t>2.350,00</t>
        </is>
      </c>
      <c r="F114" s="4" t="inlineStr">
        <is>
          <t>150.00</t>
        </is>
      </c>
    </row>
    <row collapsed="false" customFormat="false" customHeight="false" hidden="false" ht="12.1" outlineLevel="0" r="115">
      <c r="A115" s="5" t="s">
        <f>=HYPERLINK("https://leilaoonline.net/lote/detalhe/48571", "5049")</f>
      </c>
      <c r="B115" s="4" t="s">
        <f>=HYPERLINK("https://leilaoonline.net/lote/detalhe/48571", " 3 EQUIP. 1 SEMENTEIRA, 1 POLICORTE E 2 DESFIBRADOR, PTR239992/0500, UND STA CÂNDIDA")</f>
      </c>
      <c r="C115" s="4" t="inlineStr">
        <is>
          <t>Não vendido</t>
        </is>
      </c>
      <c r="D115" s="4" t="inlineStr">
        <is>
          <t>7</t>
        </is>
      </c>
      <c r="E115" s="5" t="inlineStr">
        <is>
          <t>1.450,00</t>
        </is>
      </c>
      <c r="F115" s="4" t="inlineStr">
        <is>
          <t>150.00</t>
        </is>
      </c>
    </row>
    <row collapsed="false" customFormat="false" customHeight="false" hidden="false" ht="12.1" outlineLevel="0" r="116">
      <c r="A116" s="5" t="s">
        <f>=HYPERLINK("https://leilaoonline.net/lote/detalhe/48572", "5050")</f>
      </c>
      <c r="B116" s="4" t="s">
        <f>=HYPERLINK("https://leilaoonline.net/lote/detalhe/48572", " 2 VÁLVULA GDE 125LBS, S/FR, UND STA CÂNDIDA")</f>
      </c>
      <c r="C116" s="4" t="inlineStr">
        <is>
          <t>Vendido</t>
        </is>
      </c>
      <c r="D116" s="4" t="inlineStr">
        <is>
          <t>9</t>
        </is>
      </c>
      <c r="E116" s="5" t="inlineStr">
        <is>
          <t>1.750,00</t>
        </is>
      </c>
      <c r="F116" s="4" t="inlineStr">
        <is>
          <t>150.00</t>
        </is>
      </c>
    </row>
    <row collapsed="false" customFormat="false" customHeight="false" hidden="false" ht="12.1" outlineLevel="0" r="117">
      <c r="A117" s="5" t="s">
        <f>=HYPERLINK("https://leilaoonline.net/lote/detalhe/48573", "5051")</f>
      </c>
      <c r="B117" s="4" t="s">
        <f>=HYPERLINK("https://leilaoonline.net/lote/detalhe/48573", " 1 REDUTOR C/ EIXO E MANCAL, BIOENERGIA PTR. 0071, UND STA CÂNDIDA")</f>
      </c>
      <c r="C117" s="4" t="inlineStr">
        <is>
          <t>Vendido</t>
        </is>
      </c>
      <c r="D117" s="4" t="inlineStr">
        <is>
          <t>29</t>
        </is>
      </c>
      <c r="E117" s="5" t="inlineStr">
        <is>
          <t>5.050,00</t>
        </is>
      </c>
      <c r="F117" s="4" t="inlineStr">
        <is>
          <t>150.00</t>
        </is>
      </c>
    </row>
    <row collapsed="false" customFormat="false" customHeight="false" hidden="false" ht="12.1" outlineLevel="0" r="118">
      <c r="A118" s="5" t="s">
        <f>=HYPERLINK("https://leilaoonline.net/lote/detalhe/48576", "5052")</f>
      </c>
      <c r="B118" s="4" t="s">
        <f>=HYPERLINK("https://leilaoonline.net/lote/detalhe/48576", "  BORRACHAS 3 PALHETES, UND STA CÂNDIDA")</f>
      </c>
      <c r="C118" s="4" t="inlineStr">
        <is>
          <t>Vendido</t>
        </is>
      </c>
      <c r="D118" s="4" t="inlineStr">
        <is>
          <t>1</t>
        </is>
      </c>
      <c r="E118" s="5" t="inlineStr">
        <is>
          <t>100,00</t>
        </is>
      </c>
      <c r="F118" s="4" t="inlineStr">
        <is>
          <t>50.00</t>
        </is>
      </c>
    </row>
    <row collapsed="false" customFormat="false" customHeight="false" hidden="false" ht="12.1" outlineLevel="0" r="119">
      <c r="A119" s="5" t="s">
        <f>=HYPERLINK("https://leilaoonline.net/lote/detalhe/48575", "5053")</f>
      </c>
      <c r="B119" s="4" t="s">
        <f>=HYPERLINK("https://leilaoonline.net/lote/detalhe/48575", " 1 BOMBA MAGNO NOD LOBULO E 1 MAQ. DE COSTURA C/ ESTEIRA, PTR 19663/00290, UND STA CÂNDIDA")</f>
      </c>
      <c r="C119" s="4" t="inlineStr">
        <is>
          <t>Vendido</t>
        </is>
      </c>
      <c r="D119" s="4" t="inlineStr">
        <is>
          <t>2</t>
        </is>
      </c>
      <c r="E119" s="5" t="inlineStr">
        <is>
          <t>500,00</t>
        </is>
      </c>
      <c r="F119" s="4" t="inlineStr">
        <is>
          <t>150.00</t>
        </is>
      </c>
    </row>
    <row collapsed="false" customFormat="false" customHeight="false" hidden="false" ht="12.1" outlineLevel="0" r="120">
      <c r="A120" s="5" t="s">
        <f>=HYPERLINK("https://leilaoonline.net/lote/detalhe/48543", "5054")</f>
      </c>
      <c r="B120" s="4" t="s">
        <f>=HYPERLINK("https://leilaoonline.net/lote/detalhe/48543", "(VENDA SEM PNEUS E RODAS) S. REBOQUE RANDON 11,80M, FR96204, ANO 2007, UND STA CÂNDIDA")</f>
      </c>
      <c r="C120" s="4" t="inlineStr">
        <is>
          <t>Não vendido</t>
        </is>
      </c>
      <c r="D120" s="4" t="inlineStr">
        <is>
          <t>21</t>
        </is>
      </c>
      <c r="E120" s="5" t="inlineStr">
        <is>
          <t>25.000,00</t>
        </is>
      </c>
      <c r="F120" s="4" t="inlineStr">
        <is>
          <t>500.00</t>
        </is>
      </c>
    </row>
    <row collapsed="false" customFormat="false" customHeight="false" hidden="false" ht="12.1" outlineLevel="0" r="121">
      <c r="A121" s="5" t="s">
        <f>=HYPERLINK("https://leilaoonline.net/lote/detalhe/48559", "5055")</f>
      </c>
      <c r="B121" s="4" t="s">
        <f>=HYPERLINK("https://leilaoonline.net/lote/detalhe/48559", "(VENDA SEM PNEUS E RODAS) S. REBOQUE SR/RANDON SR CA 11,80M, FR96201, ANO 2007, UND STA CÂNDIDA")</f>
      </c>
      <c r="C121" s="4" t="inlineStr">
        <is>
          <t>Vendido</t>
        </is>
      </c>
      <c r="D121" s="4" t="inlineStr">
        <is>
          <t>28</t>
        </is>
      </c>
      <c r="E121" s="5" t="inlineStr">
        <is>
          <t>26.500,00</t>
        </is>
      </c>
      <c r="F121" s="4" t="inlineStr">
        <is>
          <t>500.00</t>
        </is>
      </c>
    </row>
    <row collapsed="false" customFormat="false" customHeight="false" hidden="false" ht="12.1" outlineLevel="0" r="122">
      <c r="A122" s="5" t="s">
        <f>=HYPERLINK("https://leilaoonline.net/lote/detalhe/50106", "5056")</f>
      </c>
      <c r="B122" s="4" t="s">
        <f>=HYPERLINK("https://leilaoonline.net/lote/detalhe/50106", "S. REBOQUE RANDON 11,80, ANO 2007, FR46830, UND SANTA CÂNDIDA")</f>
      </c>
      <c r="C122" s="4" t="inlineStr">
        <is>
          <t>Não vendido</t>
        </is>
      </c>
      <c r="D122" s="4" t="inlineStr">
        <is>
          <t>30</t>
        </is>
      </c>
      <c r="E122" s="5" t="inlineStr">
        <is>
          <t>27.000,00</t>
        </is>
      </c>
      <c r="F122" s="4" t="inlineStr">
        <is>
          <t>500.00</t>
        </is>
      </c>
    </row>
    <row collapsed="false" customFormat="false" customHeight="false" hidden="false" ht="12.1" outlineLevel="0" r="123">
      <c r="A123" s="5" t="s">
        <f>=HYPERLINK("https://leilaoonline.net/lote/detalhe/48555", "5058")</f>
      </c>
      <c r="B123" s="4" t="s">
        <f>=HYPERLINK("https://leilaoonline.net/lote/detalhe/48555", "(VENDA SEM PNEUS E RODAS) - REBOQUE R/RANDONSP RQ CA 12,50M, FR96713, ANO 2010, UND STA CÂNDIDA")</f>
      </c>
      <c r="C123" s="4" t="inlineStr">
        <is>
          <t>Vendido</t>
        </is>
      </c>
      <c r="D123" s="4" t="inlineStr">
        <is>
          <t>25</t>
        </is>
      </c>
      <c r="E123" s="5" t="inlineStr">
        <is>
          <t>27.500,00</t>
        </is>
      </c>
      <c r="F123" s="4" t="inlineStr">
        <is>
          <t>500.00</t>
        </is>
      </c>
    </row>
    <row collapsed="false" customFormat="false" customHeight="false" hidden="false" ht="12.1" outlineLevel="0" r="124">
      <c r="A124" s="5" t="s">
        <f>=HYPERLINK("https://leilaoonline.net/lote/detalhe/48549", "5059")</f>
      </c>
      <c r="B124" s="4" t="s">
        <f>=HYPERLINK("https://leilaoonline.net/lote/detalhe/48549", " (VENDA SEM PNEUS E RODAS) REBOQUE R/RANDONSP RQ CA 12,50M, ANO 2010, FR82621, UND STA CÂNDIDA")</f>
      </c>
      <c r="C124" s="4" t="inlineStr">
        <is>
          <t>Vendido</t>
        </is>
      </c>
      <c r="D124" s="4" t="inlineStr">
        <is>
          <t>25</t>
        </is>
      </c>
      <c r="E124" s="5" t="inlineStr">
        <is>
          <t>27.000,00</t>
        </is>
      </c>
      <c r="F124" s="4" t="inlineStr">
        <is>
          <t>500.00</t>
        </is>
      </c>
    </row>
    <row collapsed="false" customFormat="false" customHeight="false" hidden="false" ht="12.1" outlineLevel="0" r="125">
      <c r="A125" s="5" t="s">
        <f>=HYPERLINK("https://leilaoonline.net/lote/detalhe/48566", "5060")</f>
      </c>
      <c r="B125" s="4" t="s">
        <f>=HYPERLINK("https://leilaoonline.net/lote/detalhe/48566", " (VENDA SEM PNEUS E RODAS) REBOQUE R/RANDONSP RQ CA 12,50M, FR82618, UND STA CÂNDIDA")</f>
      </c>
      <c r="C125" s="4" t="inlineStr">
        <is>
          <t>Vendido</t>
        </is>
      </c>
      <c r="D125" s="4" t="inlineStr">
        <is>
          <t>32</t>
        </is>
      </c>
      <c r="E125" s="5" t="inlineStr">
        <is>
          <t>30.500,00</t>
        </is>
      </c>
      <c r="F125" s="4" t="inlineStr">
        <is>
          <t>500.00</t>
        </is>
      </c>
    </row>
    <row collapsed="false" customFormat="false" customHeight="false" hidden="false" ht="12.1" outlineLevel="0" r="126">
      <c r="A126" s="5" t="s">
        <f>=HYPERLINK("https://leilaoonline.net/lote/detalhe/48551", "5061")</f>
      </c>
      <c r="B126" s="4" t="s">
        <f>=HYPERLINK("https://leilaoonline.net/lote/detalhe/48551", " (VENDA SEM PNEUS E RODAS) REBOQUE R/RANDONSP RQ CA 12,50M, ANO 2010, FR96784, UND STA CÂNDIDA")</f>
      </c>
      <c r="C126" s="4" t="inlineStr">
        <is>
          <t>Vendido</t>
        </is>
      </c>
      <c r="D126" s="4" t="inlineStr">
        <is>
          <t>26</t>
        </is>
      </c>
      <c r="E126" s="5" t="inlineStr">
        <is>
          <t>30.000,00</t>
        </is>
      </c>
      <c r="F126" s="4" t="inlineStr">
        <is>
          <t>500.00</t>
        </is>
      </c>
    </row>
    <row collapsed="false" customFormat="false" customHeight="false" hidden="false" ht="12.1" outlineLevel="0" r="127">
      <c r="A127" s="5" t="s">
        <f>=HYPERLINK("https://leilaoonline.net/lote/detalhe/48546", "5062")</f>
      </c>
      <c r="B127" s="4" t="s">
        <f>=HYPERLINK("https://leilaoonline.net/lote/detalhe/48546", " (VENDA SEM PNEUS E RODAS) REBOQUE R/RANDONSP RQ CA 12,50M, ANO 2011, FR96833, UND STA CÂNDIDA")</f>
      </c>
      <c r="C127" s="4" t="inlineStr">
        <is>
          <t>Vendido</t>
        </is>
      </c>
      <c r="D127" s="4" t="inlineStr">
        <is>
          <t>40</t>
        </is>
      </c>
      <c r="E127" s="5" t="inlineStr">
        <is>
          <t>32.000,00</t>
        </is>
      </c>
      <c r="F127" s="4" t="inlineStr">
        <is>
          <t>500.00</t>
        </is>
      </c>
    </row>
    <row collapsed="false" customFormat="false" customHeight="false" hidden="false" ht="12.1" outlineLevel="0" r="128">
      <c r="A128" s="5" t="s">
        <f>=HYPERLINK("https://leilaoonline.net/lote/detalhe/48554", "5063")</f>
      </c>
      <c r="B128" s="4" t="s">
        <f>=HYPERLINK("https://leilaoonline.net/lote/detalhe/48554", "(VENDA SEM PNEUS E RODAS) REBOQUE RANDON 12,50M, FR96796, ANO 2010, UND STA CÂNDIDA ")</f>
      </c>
      <c r="C128" s="4" t="inlineStr">
        <is>
          <t>Vendido</t>
        </is>
      </c>
      <c r="D128" s="4" t="inlineStr">
        <is>
          <t>40</t>
        </is>
      </c>
      <c r="E128" s="5" t="inlineStr">
        <is>
          <t>29.500,00</t>
        </is>
      </c>
      <c r="F128" s="4" t="inlineStr">
        <is>
          <t>500.00</t>
        </is>
      </c>
    </row>
    <row collapsed="false" customFormat="false" customHeight="false" hidden="false" ht="12.1" outlineLevel="0" r="129">
      <c r="A129" s="5" t="s">
        <f>=HYPERLINK("https://leilaoonline.net/lote/detalhe/48553", "5066")</f>
      </c>
      <c r="B129" s="4" t="s">
        <f>=HYPERLINK("https://leilaoonline.net/lote/detalhe/48553", " (VENDA SEM PNEUS E RODAS) REBOQUE R/RANDONSP RQ CA 12,50M, FR96829, ANO 2010, UND STA CÂNDIDA ")</f>
      </c>
      <c r="C129" s="4" t="inlineStr">
        <is>
          <t>Vendido</t>
        </is>
      </c>
      <c r="D129" s="4" t="inlineStr">
        <is>
          <t>38</t>
        </is>
      </c>
      <c r="E129" s="5" t="inlineStr">
        <is>
          <t>33.000,00</t>
        </is>
      </c>
      <c r="F129" s="4" t="inlineStr">
        <is>
          <t>500.00</t>
        </is>
      </c>
    </row>
    <row collapsed="false" customFormat="false" customHeight="false" hidden="false" ht="12.1" outlineLevel="0" r="130">
      <c r="A130" s="5" t="s">
        <f>=HYPERLINK("https://leilaoonline.net/lote/detalhe/48563", "5067")</f>
      </c>
      <c r="B130" s="4" t="s">
        <f>=HYPERLINK("https://leilaoonline.net/lote/detalhe/48563", " (VENDA SEM PNEUS E RODAS) REBOQUE R/RANDONSP RQ CA 12,50M, FR96795, ANO 2010, UND STA CÂNDIDA")</f>
      </c>
      <c r="C130" s="4" t="inlineStr">
        <is>
          <t>Vendido</t>
        </is>
      </c>
      <c r="D130" s="4" t="inlineStr">
        <is>
          <t>35</t>
        </is>
      </c>
      <c r="E130" s="5" t="inlineStr">
        <is>
          <t>30.000,00</t>
        </is>
      </c>
      <c r="F130" s="4" t="inlineStr">
        <is>
          <t>500.00</t>
        </is>
      </c>
    </row>
    <row collapsed="false" customFormat="false" customHeight="false" hidden="false" ht="12.1" outlineLevel="0" r="131">
      <c r="A131" s="5" t="s">
        <f>=HYPERLINK("https://leilaoonline.net/lote/detalhe/49443", "7015")</f>
      </c>
      <c r="B131" s="4" t="s">
        <f>=HYPERLINK("https://leilaoonline.net/lote/detalhe/49443", "veja especificações RODAS, CUBOS, EXTENSORES EM GERAL, S/FR, UND IPAUSSU")</f>
      </c>
      <c r="C131" s="4" t="inlineStr">
        <is>
          <t>Vendido</t>
        </is>
      </c>
      <c r="D131" s="4" t="inlineStr">
        <is>
          <t>36</t>
        </is>
      </c>
      <c r="E131" s="5" t="inlineStr">
        <is>
          <t>6.100,00</t>
        </is>
      </c>
      <c r="F131" s="4" t="inlineStr">
        <is>
          <t>150.00</t>
        </is>
      </c>
    </row>
    <row collapsed="false" customFormat="false" customHeight="false" hidden="false" ht="12.1" outlineLevel="0" r="132">
      <c r="A132" s="5" t="s">
        <f>=HYPERLINK("https://leilaoonline.net/lote/detalhe/49457", "7016")</f>
      </c>
      <c r="B132" s="4" t="s">
        <f>=HYPERLINK("https://leilaoonline.net/lote/detalhe/49457", "01 CONJUNTO DE SUPORTE DE TANDEN E VÁRIOS EQUIPAMENTOS DIVERSOS, S/FR, UND IPAUSSU")</f>
      </c>
      <c r="C132" s="4" t="inlineStr">
        <is>
          <t>Vendido</t>
        </is>
      </c>
      <c r="D132" s="4" t="inlineStr">
        <is>
          <t>16</t>
        </is>
      </c>
      <c r="E132" s="5" t="inlineStr">
        <is>
          <t>2.800,00</t>
        </is>
      </c>
      <c r="F132" s="4" t="inlineStr">
        <is>
          <t>150.00</t>
        </is>
      </c>
    </row>
    <row collapsed="false" customFormat="false" customHeight="false" hidden="false" ht="12.1" outlineLevel="0" r="133">
      <c r="A133" s="5" t="s">
        <f>=HYPERLINK("https://leilaoonline.net/lote/detalhe/49458", "7017")</f>
      </c>
      <c r="B133" s="4" t="s">
        <f>=HYPERLINK("https://leilaoonline.net/lote/detalhe/49458", " PEÇAS Agrícolas  (CARDANS...), 22 LUMINÁRIAS E 19 REFLETORES E REATORES, S/FR, UND IPAUSSU")</f>
      </c>
      <c r="C133" s="4" t="inlineStr">
        <is>
          <t>Vendido</t>
        </is>
      </c>
      <c r="D133" s="4" t="inlineStr">
        <is>
          <t>6</t>
        </is>
      </c>
      <c r="E133" s="5" t="inlineStr">
        <is>
          <t>1.300,00</t>
        </is>
      </c>
      <c r="F133" s="4" t="inlineStr">
        <is>
          <t>150.00</t>
        </is>
      </c>
    </row>
    <row collapsed="false" customFormat="false" customHeight="false" hidden="false" ht="12.1" outlineLevel="0" r="134">
      <c r="A134" s="5" t="s">
        <f>=HYPERLINK("https://leilaoonline.net/lote/detalhe/49456", "7020")</f>
      </c>
      <c r="B134" s="4" t="s">
        <f>=HYPERLINK("https://leilaoonline.net/lote/detalhe/49456", "PISTÕES, ALTERNADORES, MOTOR PARTIDA E CARDANS, S/FR, UND IPAUSSU")</f>
      </c>
      <c r="C134" s="4" t="inlineStr">
        <is>
          <t>Vendido</t>
        </is>
      </c>
      <c r="D134" s="4" t="inlineStr">
        <is>
          <t>15</t>
        </is>
      </c>
      <c r="E134" s="5" t="inlineStr">
        <is>
          <t>2.950,00</t>
        </is>
      </c>
      <c r="F134" s="4" t="inlineStr">
        <is>
          <t>150.00</t>
        </is>
      </c>
    </row>
    <row collapsed="false" customFormat="false" customHeight="false" hidden="false" ht="12.1" outlineLevel="0" r="135">
      <c r="A135" s="5" t="s">
        <f>=HYPERLINK("https://leilaoonline.net/lote/detalhe/49954", "7021")</f>
      </c>
      <c r="B135" s="4" t="s">
        <f>=HYPERLINK("https://leilaoonline.net/lote/detalhe/49954", "TANQUE DE FIBRA 35 MIL LITROS, S/FR, UND PARAGUAÇU")</f>
      </c>
      <c r="C135" s="4" t="inlineStr">
        <is>
          <t>Vendido</t>
        </is>
      </c>
      <c r="D135" s="4" t="inlineStr">
        <is>
          <t>13</t>
        </is>
      </c>
      <c r="E135" s="5" t="inlineStr">
        <is>
          <t>4.750,00</t>
        </is>
      </c>
      <c r="F135" s="4" t="inlineStr">
        <is>
          <t>250.00</t>
        </is>
      </c>
    </row>
    <row collapsed="false" customFormat="false" customHeight="false" hidden="false" ht="12.1" outlineLevel="0" r="136">
      <c r="A136" s="5" t="s">
        <f>=HYPERLINK("https://leilaoonline.net/lote/detalhe/49598", "7022")</f>
      </c>
      <c r="B136" s="4" t="s">
        <f>=HYPERLINK("https://leilaoonline.net/lote/detalhe/49598", "TANQUE D´AGUA 12 MIL LITROS,  S/FR, UND IPAUSSU")</f>
      </c>
      <c r="C136" s="4" t="inlineStr">
        <is>
          <t>Vendido</t>
        </is>
      </c>
      <c r="D136" s="4" t="inlineStr">
        <is>
          <t>32</t>
        </is>
      </c>
      <c r="E136" s="5" t="inlineStr">
        <is>
          <t>13.500,00</t>
        </is>
      </c>
      <c r="F136" s="4" t="inlineStr">
        <is>
          <t>250.00</t>
        </is>
      </c>
    </row>
    <row collapsed="false" customFormat="false" customHeight="false" hidden="false" ht="12.1" outlineLevel="0" r="137">
      <c r="A137" s="5" t="s">
        <f>=HYPERLINK("https://leilaoonline.net/lote/detalhe/49236", "7023")</f>
      </c>
      <c r="B137" s="4" t="s">
        <f>=HYPERLINK("https://leilaoonline.net/lote/detalhe/49236", "MÓVEIS DIVERSOS. MESAS, CADEIRAS, VIDROS, PORTAS...S/FR, UND DESTIVALE (ALOJAMENTO)")</f>
      </c>
      <c r="C137" s="4" t="inlineStr">
        <is>
          <t>Vendido</t>
        </is>
      </c>
      <c r="D137" s="4" t="inlineStr">
        <is>
          <t>3</t>
        </is>
      </c>
      <c r="E137" s="5" t="inlineStr">
        <is>
          <t>850,00</t>
        </is>
      </c>
      <c r="F137" s="4" t="inlineStr">
        <is>
          <t>150.00</t>
        </is>
      </c>
    </row>
    <row collapsed="false" customFormat="false" customHeight="false" hidden="false" ht="12.1" outlineLevel="0" r="138">
      <c r="A138" s="5" t="s">
        <f>=HYPERLINK("https://leilaoonline.net/lote/detalhe/49442", "7024")</f>
      </c>
      <c r="B138" s="4" t="s">
        <f>=HYPERLINK("https://leilaoonline.net/lote/detalhe/49442", "HILO DE 25 TONELADAS, S/FR, UND PARAGUAÇU")</f>
      </c>
      <c r="C138" s="4" t="inlineStr">
        <is>
          <t>Não vendido</t>
        </is>
      </c>
      <c r="D138" s="4" t="inlineStr">
        <is>
          <t>0</t>
        </is>
      </c>
      <c r="E138" s="5" t="inlineStr">
        <is>
          <t>2.750,00</t>
        </is>
      </c>
      <c r="F138" s="4" t="inlineStr">
        <is>
          <t>150.00</t>
        </is>
      </c>
    </row>
    <row collapsed="false" customFormat="false" customHeight="false" hidden="false" ht="12.1" outlineLevel="0" r="139">
      <c r="A139" s="5" t="s">
        <f>=HYPERLINK("https://leilaoonline.net/lote/detalhe/49440", "7025")</f>
      </c>
      <c r="B139" s="4" t="s">
        <f>=HYPERLINK("https://leilaoonline.net/lote/detalhe/49440", "veja especificações 03 TANQUES DE 25 MIL LITROS DE ARMAZENAGEM DE ETANOL, S/FR, UND TARUMÃ")</f>
      </c>
      <c r="C139" s="4" t="inlineStr">
        <is>
          <t>Vendido</t>
        </is>
      </c>
      <c r="D139" s="4" t="inlineStr">
        <is>
          <t>9</t>
        </is>
      </c>
      <c r="E139" s="5" t="inlineStr">
        <is>
          <t>5.750,00</t>
        </is>
      </c>
      <c r="F139" s="4" t="inlineStr">
        <is>
          <t>250.00</t>
        </is>
      </c>
    </row>
    <row collapsed="false" customFormat="false" customHeight="false" hidden="false" ht="12.1" outlineLevel="0" r="140">
      <c r="A140" s="5" t="s">
        <f>=HYPERLINK("https://leilaoonline.net/lote/detalhe/49444", "7026")</f>
      </c>
      <c r="B140" s="4" t="s">
        <f>=HYPERLINK("https://leilaoonline.net/lote/detalhe/49444", "3 PRENSAS HIDRÁULICAS E 15 RESERVATÓRIOS HIDRÁULICOS, S/FR, UND IPAUSSU")</f>
      </c>
      <c r="C140" s="4" t="inlineStr">
        <is>
          <t>Vendido</t>
        </is>
      </c>
      <c r="D140" s="4" t="inlineStr">
        <is>
          <t>8</t>
        </is>
      </c>
      <c r="E140" s="5" t="inlineStr">
        <is>
          <t>2.500,00</t>
        </is>
      </c>
      <c r="F140" s="4" t="inlineStr">
        <is>
          <t>250.00</t>
        </is>
      </c>
    </row>
    <row collapsed="false" customFormat="false" customHeight="false" hidden="false" ht="12.1" outlineLevel="0" r="141">
      <c r="A141" s="5" t="s">
        <f>=HYPERLINK("https://leilaoonline.net/lote/detalhe/49596", "8020")</f>
      </c>
      <c r="B141" s="4" t="s">
        <f>=HYPERLINK("https://leilaoonline.net/lote/detalhe/49596", "DIVERSOS: FOGÃO 6 BOCAS, MAQ. COSTURA, FORNO E OUTROS, S/FR (FUNDAÇÃO RAÍZEN JAÚ)")</f>
      </c>
      <c r="C141" s="4" t="inlineStr">
        <is>
          <t>Vendido</t>
        </is>
      </c>
      <c r="D141" s="4" t="inlineStr">
        <is>
          <t>15</t>
        </is>
      </c>
      <c r="E141" s="5" t="inlineStr">
        <is>
          <t>1.700,00</t>
        </is>
      </c>
      <c r="F141" s="4" t="inlineStr">
        <is>
          <t>100.00</t>
        </is>
      </c>
    </row>
    <row collapsed="false" customFormat="false" customHeight="false" hidden="false" ht="12.1" outlineLevel="0" r="142">
      <c r="A142" s="5" t="s">
        <f>=HYPERLINK("https://leilaoonline.net/lote/detalhe/49983", "20266")</f>
      </c>
      <c r="B142" s="4" t="s">
        <f>=HYPERLINK("https://leilaoonline.net/lote/detalhe/49983", "CONTAINER REFRIGERADO, S/FR, UND COSTA PINTO")</f>
      </c>
      <c r="C142" s="4" t="inlineStr">
        <is>
          <t>Não vendido</t>
        </is>
      </c>
      <c r="D142" s="4" t="inlineStr">
        <is>
          <t>14</t>
        </is>
      </c>
      <c r="E142" s="5" t="inlineStr">
        <is>
          <t>7.000,00</t>
        </is>
      </c>
      <c r="F142" s="4" t="inlineStr">
        <is>
          <t>250.00</t>
        </is>
      </c>
    </row>
    <row collapsed="false" customFormat="false" customHeight="false" hidden="false" ht="12.1" outlineLevel="0" r="143">
      <c r="A143" s="5" t="s">
        <f>=HYPERLINK("https://leilaoonline.net/lote/detalhe/50098", "20277")</f>
      </c>
      <c r="B143" s="4" t="s">
        <f>=HYPERLINK("https://leilaoonline.net/lote/detalhe/50098", " COBRIDOR DMB DE CANA COM 3 LINHAS, FR57247, UND C. PINTO")</f>
      </c>
      <c r="C143" s="4" t="inlineStr">
        <is>
          <t>Vendido</t>
        </is>
      </c>
      <c r="D143" s="4" t="inlineStr">
        <is>
          <t>15</t>
        </is>
      </c>
      <c r="E143" s="5" t="inlineStr">
        <is>
          <t>2.650,00</t>
        </is>
      </c>
      <c r="F143" s="4" t="inlineStr">
        <is>
          <t>150.00</t>
        </is>
      </c>
    </row>
    <row collapsed="false" customFormat="false" customHeight="false" hidden="false" ht="12.1" outlineLevel="0" r="144">
      <c r="A144" s="5" t="s">
        <f>=HYPERLINK("https://leilaoonline.net/lote/detalhe/50099", "20284")</f>
      </c>
      <c r="B144" s="4" t="s">
        <f>=HYPERLINK("https://leilaoonline.net/lote/detalhe/50099", " SR/USICAMP SRCP E2 10000 S.REB PALHA, FR22535, (DOLLY 56990), ANO 2006, UND C. PINTO")</f>
      </c>
      <c r="C144" s="4" t="inlineStr">
        <is>
          <t>Vendido</t>
        </is>
      </c>
      <c r="D144" s="4" t="inlineStr">
        <is>
          <t>8</t>
        </is>
      </c>
      <c r="E144" s="5" t="inlineStr">
        <is>
          <t>9.000,00</t>
        </is>
      </c>
      <c r="F144" s="4" t="inlineStr">
        <is>
          <t>500.00</t>
        </is>
      </c>
    </row>
    <row collapsed="false" customFormat="false" customHeight="false" hidden="false" ht="12.1" outlineLevel="0" r="145">
      <c r="A145" s="5" t="s">
        <f>=HYPERLINK("https://leilaoonline.net/lote/detalhe/49995", "20298")</f>
      </c>
      <c r="B145" s="4" t="s">
        <f>=HYPERLINK("https://leilaoonline.net/lote/detalhe/49995", "MOTOR ESTACIONÁRIO SCANIA DIESEL, FR258179, UND C. PINTO")</f>
      </c>
      <c r="C145" s="4" t="inlineStr">
        <is>
          <t>Vendido</t>
        </is>
      </c>
      <c r="D145" s="4" t="inlineStr">
        <is>
          <t>65</t>
        </is>
      </c>
      <c r="E145" s="5" t="inlineStr">
        <is>
          <t>14.900,00</t>
        </is>
      </c>
      <c r="F145" s="4" t="inlineStr">
        <is>
          <t>150.00</t>
        </is>
      </c>
    </row>
    <row collapsed="false" customFormat="false" customHeight="false" hidden="false" ht="12.1" outlineLevel="0" r="146">
      <c r="A146" s="5" t="s">
        <f>=HYPERLINK("https://leilaoonline.net/lote/detalhe/49996", "20299")</f>
      </c>
      <c r="B146" s="4" t="s">
        <f>=HYPERLINK("https://leilaoonline.net/lote/detalhe/49996", "3 UND PNEUS AGRÍCOLA 710/70R- 38 USADOS, S/FR, UND COSTA PINTO")</f>
      </c>
      <c r="C146" s="4" t="inlineStr">
        <is>
          <t>Vendido</t>
        </is>
      </c>
      <c r="D146" s="4" t="inlineStr">
        <is>
          <t>10</t>
        </is>
      </c>
      <c r="E146" s="5" t="inlineStr">
        <is>
          <t>1.700,00</t>
        </is>
      </c>
      <c r="F146" s="4" t="inlineStr">
        <is>
          <t>150.00</t>
        </is>
      </c>
    </row>
    <row collapsed="false" customFormat="false" customHeight="false" hidden="false" ht="12.1" outlineLevel="0" r="147">
      <c r="A147" s="5" t="s">
        <f>=HYPERLINK("https://leilaoonline.net/lote/detalhe/50040", "20300")</f>
      </c>
      <c r="B147" s="4" t="s">
        <f>=HYPERLINK("https://leilaoonline.net/lote/detalhe/50040", "S.REBOQUE SR/USICAMP SRCP E2 10000, 12,50M, ANO 2008, FR56332, UND RAFARD")</f>
      </c>
      <c r="C147" s="4" t="inlineStr">
        <is>
          <t>Vendido</t>
        </is>
      </c>
      <c r="D147" s="4" t="inlineStr">
        <is>
          <t>30</t>
        </is>
      </c>
      <c r="E147" s="5" t="inlineStr">
        <is>
          <t>31.000,00</t>
        </is>
      </c>
      <c r="F147" s="4" t="inlineStr">
        <is>
          <t>500.00</t>
        </is>
      </c>
    </row>
    <row collapsed="false" customFormat="false" customHeight="false" hidden="false" ht="12.1" outlineLevel="0" r="148">
      <c r="A148" s="5" t="s">
        <f>=HYPERLINK("https://leilaoonline.net/lote/detalhe/50041", "20301")</f>
      </c>
      <c r="B148" s="4" t="s">
        <f>=HYPERLINK("https://leilaoonline.net/lote/detalhe/50041", "REBOQUE 4E R/RANDONSP RQ CA 12,50 M, ANO 2010/2011, FR36299, UND RAFARD")</f>
      </c>
      <c r="C148" s="4" t="inlineStr">
        <is>
          <t>Vendido</t>
        </is>
      </c>
      <c r="D148" s="4" t="inlineStr">
        <is>
          <t>42</t>
        </is>
      </c>
      <c r="E148" s="5" t="inlineStr">
        <is>
          <t>39.000,00</t>
        </is>
      </c>
      <c r="F148" s="4" t="inlineStr">
        <is>
          <t>500.00</t>
        </is>
      </c>
    </row>
    <row collapsed="false" customFormat="false" customHeight="false" hidden="false" ht="12.1" outlineLevel="0" r="149">
      <c r="A149" s="5" t="s">
        <f>=HYPERLINK("https://leilaoonline.net/lote/detalhe/50043", "20302")</f>
      </c>
      <c r="B149" s="4" t="s">
        <f>=HYPERLINK("https://leilaoonline.net/lote/detalhe/50043", "PLANTADEIRA C/ ADUB. 150M DMB PCP6000, 165212/162121, UND RAFARD")</f>
      </c>
      <c r="C149" s="4" t="inlineStr">
        <is>
          <t>Não vendido</t>
        </is>
      </c>
      <c r="D149" s="4" t="inlineStr">
        <is>
          <t>1</t>
        </is>
      </c>
      <c r="E149" s="5" t="inlineStr">
        <is>
          <t>3.750,00</t>
        </is>
      </c>
      <c r="F149" s="4" t="inlineStr">
        <is>
          <t>250.00</t>
        </is>
      </c>
    </row>
    <row collapsed="false" customFormat="false" customHeight="false" hidden="false" ht="12.1" outlineLevel="0" r="150">
      <c r="A150" s="5" t="s">
        <f>=HYPERLINK("https://leilaoonline.net/lote/detalhe/49982", "24211")</f>
      </c>
      <c r="B150" s="4" t="s">
        <f>=HYPERLINK("https://leilaoonline.net/lote/detalhe/49982", "CAMINHÃO M.BENZ/AXOR 3344S6X4, ANO 2015, FR586939, UND B. RETIRO")</f>
      </c>
      <c r="C150" s="4" t="inlineStr">
        <is>
          <t>Venda condicional</t>
        </is>
      </c>
      <c r="D150" s="4" t="inlineStr">
        <is>
          <t>210</t>
        </is>
      </c>
      <c r="E150" s="5" t="inlineStr">
        <is>
          <t>155.000,00</t>
        </is>
      </c>
      <c r="F150" s="4" t="inlineStr">
        <is>
          <t>500.00</t>
        </is>
      </c>
    </row>
    <row collapsed="false" customFormat="false" customHeight="false" hidden="false" ht="12.1" outlineLevel="0" r="151">
      <c r="A151" s="5" t="s">
        <f>=HYPERLINK("https://leilaoonline.net/lote/detalhe/49981", "24239")</f>
      </c>
      <c r="B151" s="4" t="s">
        <f>=HYPERLINK("https://leilaoonline.net/lote/detalhe/49981", "CAMINHÃO SCANIA  P124CB 6X4 420 C. INTEIRA, ANO 2000/2001, FR57583/FR52881, UND BM RETIRO")</f>
      </c>
      <c r="C151" s="4" t="inlineStr">
        <is>
          <t>Vendido</t>
        </is>
      </c>
      <c r="D151" s="4" t="inlineStr">
        <is>
          <t>73</t>
        </is>
      </c>
      <c r="E151" s="5" t="inlineStr">
        <is>
          <t>58.000,00</t>
        </is>
      </c>
      <c r="F151" s="4" t="inlineStr">
        <is>
          <t>500.00</t>
        </is>
      </c>
    </row>
    <row collapsed="false" customFormat="false" customHeight="false" hidden="false" ht="12.1" outlineLevel="0" r="152">
      <c r="A152" s="5" t="s">
        <f>=HYPERLINK("https://leilaoonline.net/lote/detalhe/50050", "24500")</f>
      </c>
      <c r="B152" s="4" t="s">
        <f>=HYPERLINK("https://leilaoonline.net/lote/detalhe/50050", "REBOQUE ANTONINI 7,60M, ANO 1996, FR46802, UND JATAÍ  - FALTANDO PEÇAS")</f>
      </c>
      <c r="C152" s="4" t="inlineStr">
        <is>
          <t>Vendido</t>
        </is>
      </c>
      <c r="D152" s="4" t="inlineStr">
        <is>
          <t>6</t>
        </is>
      </c>
      <c r="E152" s="5" t="inlineStr">
        <is>
          <t>5.000,00</t>
        </is>
      </c>
      <c r="F152" s="4" t="inlineStr">
        <is>
          <t>250.00</t>
        </is>
      </c>
    </row>
    <row collapsed="false" customFormat="false" customHeight="false" hidden="false" ht="12.1" outlineLevel="0" r="153">
      <c r="A153" s="5" t="s">
        <f>=HYPERLINK("https://leilaoonline.net/lote/detalhe/50051", "24501")</f>
      </c>
      <c r="B153" s="4" t="s">
        <f>=HYPERLINK("https://leilaoonline.net/lote/detalhe/50051", "S.REBOQUE USICAMP 12,50 M, ANO 2009, FR164069, UND JATAÍ")</f>
      </c>
      <c r="C153" s="4" t="inlineStr">
        <is>
          <t>Não vendido</t>
        </is>
      </c>
      <c r="D153" s="4" t="inlineStr">
        <is>
          <t>4</t>
        </is>
      </c>
      <c r="E153" s="5" t="inlineStr">
        <is>
          <t>12.000,00</t>
        </is>
      </c>
      <c r="F153" s="4" t="inlineStr">
        <is>
          <t>500.00</t>
        </is>
      </c>
    </row>
    <row collapsed="false" customFormat="false" customHeight="false" hidden="false" ht="12.1" outlineLevel="0" r="154">
      <c r="A154" s="5" t="s">
        <f>=HYPERLINK("https://leilaoonline.net/lote/detalhe/50052", "24502")</f>
      </c>
      <c r="B154" s="4" t="s">
        <f>=HYPERLINK("https://leilaoonline.net/lote/detalhe/50052", "S.REBOQUE USICAMP 12,50 M, ANO 2009, FR164019, UND JATAÍ")</f>
      </c>
      <c r="C154" s="4" t="inlineStr">
        <is>
          <t>Não vendido</t>
        </is>
      </c>
      <c r="D154" s="4" t="inlineStr">
        <is>
          <t>7</t>
        </is>
      </c>
      <c r="E154" s="5" t="inlineStr">
        <is>
          <t>13.500,00</t>
        </is>
      </c>
      <c r="F154" s="4" t="inlineStr">
        <is>
          <t>500.00</t>
        </is>
      </c>
    </row>
    <row collapsed="false" customFormat="false" customHeight="false" hidden="false" ht="12.1" outlineLevel="0" r="155">
      <c r="A155" s="5" t="s">
        <f>=HYPERLINK("https://leilaoonline.net/lote/detalhe/50053", "24503")</f>
      </c>
      <c r="B155" s="4" t="s">
        <f>=HYPERLINK("https://leilaoonline.net/lote/detalhe/50053", "S.REBOQUE USICAMP 12,50 M, ANO 2009, FR164015, UND JATAÍ")</f>
      </c>
      <c r="C155" s="4" t="inlineStr">
        <is>
          <t>Não vendido</t>
        </is>
      </c>
      <c r="D155" s="4" t="inlineStr">
        <is>
          <t>4</t>
        </is>
      </c>
      <c r="E155" s="5" t="inlineStr">
        <is>
          <t>12.000,00</t>
        </is>
      </c>
      <c r="F155" s="4" t="inlineStr">
        <is>
          <t>500.00</t>
        </is>
      </c>
    </row>
    <row collapsed="false" customFormat="false" customHeight="false" hidden="false" ht="12.1" outlineLevel="0" r="156">
      <c r="A156" s="5" t="s">
        <f>=HYPERLINK("https://leilaoonline.net/lote/detalhe/50054", "24504")</f>
      </c>
      <c r="B156" s="4" t="s">
        <f>=HYPERLINK("https://leilaoonline.net/lote/detalhe/50054", "S.REBOQUE USICAMP 12,50 M, ANO 2009, FR164041, UND JATAÍ")</f>
      </c>
      <c r="C156" s="4" t="inlineStr">
        <is>
          <t>Não vendido</t>
        </is>
      </c>
      <c r="D156" s="4" t="inlineStr">
        <is>
          <t>4</t>
        </is>
      </c>
      <c r="E156" s="5" t="inlineStr">
        <is>
          <t>13.500,00</t>
        </is>
      </c>
      <c r="F156" s="4" t="inlineStr">
        <is>
          <t>500.00</t>
        </is>
      </c>
    </row>
    <row collapsed="false" customFormat="false" customHeight="false" hidden="false" ht="12.1" outlineLevel="0" r="157">
      <c r="A157" s="5" t="s">
        <f>=HYPERLINK("https://leilaoonline.net/lote/detalhe/50055", "24505")</f>
      </c>
      <c r="B157" s="4" t="s">
        <f>=HYPERLINK("https://leilaoonline.net/lote/detalhe/50055", "S.REBOQUE USICAMP 12,50 M, ANO 2009, FR164025, UND JATAÍ")</f>
      </c>
      <c r="C157" s="4" t="inlineStr">
        <is>
          <t>Não vendido</t>
        </is>
      </c>
      <c r="D157" s="4" t="inlineStr">
        <is>
          <t>4</t>
        </is>
      </c>
      <c r="E157" s="5" t="inlineStr">
        <is>
          <t>12.000,00</t>
        </is>
      </c>
      <c r="F157" s="4" t="inlineStr">
        <is>
          <t>500.00</t>
        </is>
      </c>
    </row>
    <row collapsed="false" customFormat="false" customHeight="false" hidden="false" ht="12.1" outlineLevel="0" r="158">
      <c r="A158" s="5" t="s">
        <f>=HYPERLINK("https://leilaoonline.net/lote/detalhe/50065", "24506")</f>
      </c>
      <c r="B158" s="4" t="s">
        <f>=HYPERLINK("https://leilaoonline.net/lote/detalhe/50065", "REBOQUE 4E R/RANDONSP RQ CA 12,5M, ANO 2010 FR121471, UND JATAÍ")</f>
      </c>
      <c r="C158" s="4" t="inlineStr">
        <is>
          <t>Não vendido</t>
        </is>
      </c>
      <c r="D158" s="4" t="inlineStr">
        <is>
          <t>31</t>
        </is>
      </c>
      <c r="E158" s="5" t="inlineStr">
        <is>
          <t>27.000,00</t>
        </is>
      </c>
      <c r="F158" s="4" t="inlineStr">
        <is>
          <t>500.00</t>
        </is>
      </c>
    </row>
    <row collapsed="false" customFormat="false" customHeight="false" hidden="false" ht="12.1" outlineLevel="0" r="159">
      <c r="A159" s="5" t="s">
        <f>=HYPERLINK("https://leilaoonline.net/lote/detalhe/50066", "24507")</f>
      </c>
      <c r="B159" s="4" t="s">
        <f>=HYPERLINK("https://leilaoonline.net/lote/detalhe/50066", "REBOQUE 4E R/RANDONSP RQ CA 12,5M, ANO 2010, FR121473, UND JATAÍ")</f>
      </c>
      <c r="C159" s="4" t="inlineStr">
        <is>
          <t>Não vendido</t>
        </is>
      </c>
      <c r="D159" s="4" t="inlineStr">
        <is>
          <t>31</t>
        </is>
      </c>
      <c r="E159" s="5" t="inlineStr">
        <is>
          <t>27.000,00</t>
        </is>
      </c>
      <c r="F159" s="4" t="inlineStr">
        <is>
          <t>500.00</t>
        </is>
      </c>
    </row>
    <row collapsed="false" customFormat="false" customHeight="false" hidden="false" ht="12.1" outlineLevel="0" r="160">
      <c r="A160" s="5" t="s">
        <f>=HYPERLINK("https://leilaoonline.net/lote/detalhe/50067", "24508")</f>
      </c>
      <c r="B160" s="4" t="s">
        <f>=HYPERLINK("https://leilaoonline.net/lote/detalhe/50067", "REBOQUE 4E R/RANDONSP RQ CA 12,5M, ANO 2010, FR121476, UND JATAÍ")</f>
      </c>
      <c r="C160" s="4" t="inlineStr">
        <is>
          <t>Não vendido</t>
        </is>
      </c>
      <c r="D160" s="4" t="inlineStr">
        <is>
          <t>16</t>
        </is>
      </c>
      <c r="E160" s="5" t="inlineStr">
        <is>
          <t>18.000,00</t>
        </is>
      </c>
      <c r="F160" s="4" t="inlineStr">
        <is>
          <t>500.00</t>
        </is>
      </c>
    </row>
    <row collapsed="false" customFormat="false" customHeight="false" hidden="false" ht="12.1" outlineLevel="0" r="161">
      <c r="A161" s="5" t="s">
        <f>=HYPERLINK("https://leilaoonline.net/lote/detalhe/50068", "24509")</f>
      </c>
      <c r="B161" s="4" t="s">
        <f>=HYPERLINK("https://leilaoonline.net/lote/detalhe/50068", "S. REBOQUE SR/USICAMP SRCP E2 10000 12,50 M, ANO 2009, FR164022, UND JATAÍ")</f>
      </c>
      <c r="C161" s="4" t="inlineStr">
        <is>
          <t>Não vendido</t>
        </is>
      </c>
      <c r="D161" s="4" t="inlineStr">
        <is>
          <t>2</t>
        </is>
      </c>
      <c r="E161" s="5" t="inlineStr">
        <is>
          <t>11.000,00</t>
        </is>
      </c>
      <c r="F161" s="4" t="inlineStr">
        <is>
          <t>500.00</t>
        </is>
      </c>
    </row>
    <row collapsed="false" customFormat="false" customHeight="false" hidden="false" ht="12.1" outlineLevel="0" r="162">
      <c r="A162" s="5" t="s">
        <f>=HYPERLINK("https://leilaoonline.net/lote/detalhe/50069", "24510")</f>
      </c>
      <c r="B162" s="4" t="s">
        <f>=HYPERLINK("https://leilaoonline.net/lote/detalhe/50069", "S. REBOQUE SR/USICAMP SRCP E2 10000 12,50 M, ANO 2009, FR164024, UND JATAÍ")</f>
      </c>
      <c r="C162" s="4" t="inlineStr">
        <is>
          <t>Não vendido</t>
        </is>
      </c>
      <c r="D162" s="4" t="inlineStr">
        <is>
          <t>1</t>
        </is>
      </c>
      <c r="E162" s="5" t="inlineStr">
        <is>
          <t>12.000,00</t>
        </is>
      </c>
      <c r="F162" s="4" t="inlineStr">
        <is>
          <t>500.00</t>
        </is>
      </c>
    </row>
    <row collapsed="false" customFormat="false" customHeight="false" hidden="false" ht="12.1" outlineLevel="0" r="163">
      <c r="A163" s="5" t="s">
        <f>=HYPERLINK("https://leilaoonline.net/lote/detalhe/50070", "24511")</f>
      </c>
      <c r="B163" s="4" t="s">
        <f>=HYPERLINK("https://leilaoonline.net/lote/detalhe/50070", "S. REBOQUE SR/USICAMP SRCP E2 10000 12,50 M, ANO 2009, FR164054, UND JATAÍ")</f>
      </c>
      <c r="C163" s="4" t="inlineStr">
        <is>
          <t>Não vendido</t>
        </is>
      </c>
      <c r="D163" s="4" t="inlineStr">
        <is>
          <t>1</t>
        </is>
      </c>
      <c r="E163" s="5" t="inlineStr">
        <is>
          <t>10.500,00</t>
        </is>
      </c>
      <c r="F163" s="4" t="inlineStr">
        <is>
          <t>500.00</t>
        </is>
      </c>
    </row>
    <row collapsed="false" customFormat="false" customHeight="false" hidden="false" ht="12.1" outlineLevel="0" r="164">
      <c r="A164" s="5" t="s">
        <f>=HYPERLINK("https://leilaoonline.net/lote/detalhe/50071", "24512")</f>
      </c>
      <c r="B164" s="4" t="s">
        <f>=HYPERLINK("https://leilaoonline.net/lote/detalhe/50071", "S. REBOQUE SR/USICAMP SRCP E2 10000 12,50 M, ANO 2009, FR164061, UND JATAÍ")</f>
      </c>
      <c r="C164" s="4" t="inlineStr">
        <is>
          <t>Não vendido</t>
        </is>
      </c>
      <c r="D164" s="4" t="inlineStr">
        <is>
          <t>1</t>
        </is>
      </c>
      <c r="E164" s="5" t="inlineStr">
        <is>
          <t>10.500,00</t>
        </is>
      </c>
      <c r="F164" s="4" t="inlineStr">
        <is>
          <t>500.00</t>
        </is>
      </c>
    </row>
    <row collapsed="false" customFormat="false" customHeight="false" hidden="false" ht="12.1" outlineLevel="0" r="165">
      <c r="A165" s="5" t="s">
        <f>=HYPERLINK("https://leilaoonline.net/lote/detalhe/50072", "24513")</f>
      </c>
      <c r="B165" s="4" t="s">
        <f>=HYPERLINK("https://leilaoonline.net/lote/detalhe/50072", "S. REBOQUE SR/USICAMP SRCP E2 10000 12,50 M, ANO 2009, FR164073, UND JATAÍ")</f>
      </c>
      <c r="C165" s="4" t="inlineStr">
        <is>
          <t>Não vendido</t>
        </is>
      </c>
      <c r="D165" s="4" t="inlineStr">
        <is>
          <t>2</t>
        </is>
      </c>
      <c r="E165" s="5" t="inlineStr">
        <is>
          <t>11.000,00</t>
        </is>
      </c>
      <c r="F165" s="4" t="inlineStr">
        <is>
          <t>500.00</t>
        </is>
      </c>
    </row>
    <row collapsed="false" customFormat="false" customHeight="false" hidden="false" ht="12.1" outlineLevel="0" r="166">
      <c r="A166" s="5" t="s">
        <f>=HYPERLINK("https://leilaoonline.net/lote/detalhe/50073", "24514")</f>
      </c>
      <c r="B166" s="4" t="s">
        <f>=HYPERLINK("https://leilaoonline.net/lote/detalhe/50073", "S. REBOQUE SR/USICAMP SRCP E2 10000 12,50 M, ANO 2009, FR164079, UND JATAÍ")</f>
      </c>
      <c r="C166" s="4" t="inlineStr">
        <is>
          <t>Não vendido</t>
        </is>
      </c>
      <c r="D166" s="4" t="inlineStr">
        <is>
          <t>1</t>
        </is>
      </c>
      <c r="E166" s="5" t="inlineStr">
        <is>
          <t>10.500,00</t>
        </is>
      </c>
      <c r="F166" s="4" t="inlineStr">
        <is>
          <t>500.00</t>
        </is>
      </c>
    </row>
    <row collapsed="false" customFormat="false" customHeight="false" hidden="false" ht="12.1" outlineLevel="0" r="167">
      <c r="A167" s="5" t="s">
        <f>=HYPERLINK("https://leilaoonline.net/lote/detalhe/50074", "24515")</f>
      </c>
      <c r="B167" s="4" t="s">
        <f>=HYPERLINK("https://leilaoonline.net/lote/detalhe/50074", "S. REBOQUE SR/USICAMP SRCP E2 10000    12,50 M, ANO 2009, FR164036, UND JATAÍ")</f>
      </c>
      <c r="C167" s="4" t="inlineStr">
        <is>
          <t>Não vendido</t>
        </is>
      </c>
      <c r="D167" s="4" t="inlineStr">
        <is>
          <t>1</t>
        </is>
      </c>
      <c r="E167" s="5" t="inlineStr">
        <is>
          <t>10.500,00</t>
        </is>
      </c>
      <c r="F167" s="4" t="inlineStr">
        <is>
          <t>500.00</t>
        </is>
      </c>
    </row>
    <row collapsed="false" customFormat="false" customHeight="false" hidden="false" ht="12.1" outlineLevel="0" r="168">
      <c r="A168" s="5" t="s">
        <f>=HYPERLINK("https://leilaoonline.net/lote/detalhe/50075", "24516")</f>
      </c>
      <c r="B168" s="4" t="s">
        <f>=HYPERLINK("https://leilaoonline.net/lote/detalhe/50075", "S. REBOQUE SR/USICAMP SRCP E2 10000 12,50 M, ANO 2009, FR164085, UND JATAÍ")</f>
      </c>
      <c r="C168" s="4" t="inlineStr">
        <is>
          <t>Não vendido</t>
        </is>
      </c>
      <c r="D168" s="4" t="inlineStr">
        <is>
          <t>1</t>
        </is>
      </c>
      <c r="E168" s="5" t="inlineStr">
        <is>
          <t>10.500,00</t>
        </is>
      </c>
      <c r="F168" s="4" t="inlineStr">
        <is>
          <t>500.00</t>
        </is>
      </c>
    </row>
    <row collapsed="false" customFormat="false" customHeight="false" hidden="false" ht="12.1" outlineLevel="0" r="169">
      <c r="A169" s="5" t="s">
        <f>=HYPERLINK("https://leilaoonline.net/lote/detalhe/50076", "24517")</f>
      </c>
      <c r="B169" s="4" t="s">
        <f>=HYPERLINK("https://leilaoonline.net/lote/detalhe/50076", "S. REBOQUE SR/USICAMP SRCP E2 10000 12,50 M, ANO 2009, FR164086, UND JATAÍ")</f>
      </c>
      <c r="C169" s="4" t="inlineStr">
        <is>
          <t>Não vendido</t>
        </is>
      </c>
      <c r="D169" s="4" t="inlineStr">
        <is>
          <t>4</t>
        </is>
      </c>
      <c r="E169" s="5" t="inlineStr">
        <is>
          <t>12.000,00</t>
        </is>
      </c>
      <c r="F169" s="4" t="inlineStr">
        <is>
          <t>500.00</t>
        </is>
      </c>
    </row>
    <row collapsed="false" customFormat="false" customHeight="false" hidden="false" ht="12.1" outlineLevel="0" r="170">
      <c r="A170" s="5" t="s">
        <f>=HYPERLINK("https://leilaoonline.net/lote/detalhe/50077", "24518")</f>
      </c>
      <c r="B170" s="4" t="s">
        <f>=HYPERLINK("https://leilaoonline.net/lote/detalhe/50077", "REBOQUE 4E R/RANDONSP RQ CA 12,5M, ANO 2010/2011, FR164102, UND JATAÍ")</f>
      </c>
      <c r="C170" s="4" t="inlineStr">
        <is>
          <t>Não vendido</t>
        </is>
      </c>
      <c r="D170" s="4" t="inlineStr">
        <is>
          <t>1</t>
        </is>
      </c>
      <c r="E170" s="5" t="inlineStr">
        <is>
          <t>10.500,00</t>
        </is>
      </c>
      <c r="F170" s="4" t="inlineStr">
        <is>
          <t>500.00</t>
        </is>
      </c>
    </row>
    <row collapsed="false" customFormat="false" customHeight="false" hidden="false" ht="12.1" outlineLevel="0" r="171">
      <c r="A171" s="5" t="s">
        <f>=HYPERLINK("https://leilaoonline.net/lote/detalhe/50078", "24519")</f>
      </c>
      <c r="B171" s="4" t="s">
        <f>=HYPERLINK("https://leilaoonline.net/lote/detalhe/50078", "REBOQUE 4E R/RANDONSP RQ CA 12,5M, ANO 2010/2011, FR164121, UND JATAÍ")</f>
      </c>
      <c r="C171" s="4" t="inlineStr">
        <is>
          <t>Não vendido</t>
        </is>
      </c>
      <c r="D171" s="4" t="inlineStr">
        <is>
          <t>2</t>
        </is>
      </c>
      <c r="E171" s="5" t="inlineStr">
        <is>
          <t>11.000,00</t>
        </is>
      </c>
      <c r="F171" s="4" t="inlineStr">
        <is>
          <t>500.00</t>
        </is>
      </c>
    </row>
    <row collapsed="false" customFormat="false" customHeight="false" hidden="false" ht="12.1" outlineLevel="0" r="172">
      <c r="A172" s="5" t="s">
        <f>=HYPERLINK("https://leilaoonline.net/lote/detalhe/50079", "24520")</f>
      </c>
      <c r="B172" s="4" t="s">
        <f>=HYPERLINK("https://leilaoonline.net/lote/detalhe/50079", "DOLLY USICAMP, ANO 2009, VENDA SEM DOCUMENTO, FR164770, UND JATAÍ")</f>
      </c>
      <c r="C172" s="4" t="inlineStr">
        <is>
          <t>Não vendido</t>
        </is>
      </c>
      <c r="D172" s="4" t="inlineStr">
        <is>
          <t>8</t>
        </is>
      </c>
      <c r="E172" s="5" t="inlineStr">
        <is>
          <t>3.500,00</t>
        </is>
      </c>
      <c r="F172" s="4" t="inlineStr">
        <is>
          <t>250.00</t>
        </is>
      </c>
    </row>
    <row collapsed="false" customFormat="false" customHeight="false" hidden="false" ht="12.1" outlineLevel="0" r="173">
      <c r="A173" s="5" t="s">
        <f>=HYPERLINK("https://leilaoonline.net/lote/detalhe/50080", "24521")</f>
      </c>
      <c r="B173" s="4" t="s">
        <f>=HYPERLINK("https://leilaoonline.net/lote/detalhe/50080", "ARADO, FR165283, UND JATAÍ")</f>
      </c>
      <c r="C173" s="4" t="inlineStr">
        <is>
          <t>Não vendido</t>
        </is>
      </c>
      <c r="D173" s="4" t="inlineStr">
        <is>
          <t>1</t>
        </is>
      </c>
      <c r="E173" s="5" t="inlineStr">
        <is>
          <t>1.750,00</t>
        </is>
      </c>
      <c r="F173" s="4" t="inlineStr">
        <is>
          <t>150.00</t>
        </is>
      </c>
    </row>
    <row collapsed="false" customFormat="false" customHeight="false" hidden="false" ht="12.1" outlineLevel="0" r="174">
      <c r="A174" s="5" t="s">
        <f>=HYPERLINK("https://leilaoonline.net/lote/detalhe/50081", "24522")</f>
      </c>
      <c r="B174" s="4" t="s">
        <f>=HYPERLINK("https://leilaoonline.net/lote/detalhe/50081", "CARRETA ABAST. BAZUCA, FR165345, UND JATAÍ")</f>
      </c>
      <c r="C174" s="4" t="inlineStr">
        <is>
          <t>Vendido</t>
        </is>
      </c>
      <c r="D174" s="4" t="inlineStr">
        <is>
          <t>12</t>
        </is>
      </c>
      <c r="E174" s="5" t="inlineStr">
        <is>
          <t>4.500,00</t>
        </is>
      </c>
      <c r="F174" s="4" t="inlineStr">
        <is>
          <t>250.00</t>
        </is>
      </c>
    </row>
    <row collapsed="false" customFormat="false" customHeight="false" hidden="false" ht="12.1" outlineLevel="0" r="175">
      <c r="A175" s="5" t="s">
        <f>=HYPERLINK("https://leilaoonline.net/lote/detalhe/50082", "24523")</f>
      </c>
      <c r="B175" s="4" t="s">
        <f>=HYPERLINK("https://leilaoonline.net/lote/detalhe/50082", "2 COBRIDOR 3 Lin DMB, FR165264/FR165334, UND JATAÍ")</f>
      </c>
      <c r="C175" s="4" t="inlineStr">
        <is>
          <t>Não vendido</t>
        </is>
      </c>
      <c r="D175" s="4" t="inlineStr">
        <is>
          <t>7</t>
        </is>
      </c>
      <c r="E175" s="5" t="inlineStr">
        <is>
          <t>1.450,00</t>
        </is>
      </c>
      <c r="F175" s="4" t="inlineStr">
        <is>
          <t>150.00</t>
        </is>
      </c>
    </row>
    <row collapsed="false" customFormat="false" customHeight="false" hidden="false" ht="12.1" outlineLevel="0" r="176">
      <c r="A176" s="5" t="s">
        <f>=HYPERLINK("https://leilaoonline.net/lote/detalhe/50083", "24524")</f>
      </c>
      <c r="B176" s="4" t="s">
        <f>=HYPERLINK("https://leilaoonline.net/lote/detalhe/50083", "S. REBOQUE SR/RANDONSP SRCA CA 12,50 M, ANO 2010/2011, FR164129, UND JATAÍ")</f>
      </c>
      <c r="C176" s="4" t="inlineStr">
        <is>
          <t>Não vendido</t>
        </is>
      </c>
      <c r="D176" s="4" t="inlineStr">
        <is>
          <t>1</t>
        </is>
      </c>
      <c r="E176" s="5" t="inlineStr">
        <is>
          <t>10.500,00</t>
        </is>
      </c>
      <c r="F176" s="4" t="inlineStr">
        <is>
          <t>500.00</t>
        </is>
      </c>
    </row>
    <row collapsed="false" customFormat="false" customHeight="false" hidden="false" ht="12.1" outlineLevel="0" r="177">
      <c r="A177" s="5" t="s">
        <f>=HYPERLINK("https://leilaoonline.net/lote/detalhe/50084", "24525")</f>
      </c>
      <c r="B177" s="4" t="s">
        <f>=HYPERLINK("https://leilaoonline.net/lote/detalhe/50084", "REBOQUE R/SOUFER CA 4E S.ISABEL 12,5M, ANO 2012, FR164157, UND JATAÍ")</f>
      </c>
      <c r="C177" s="4" t="inlineStr">
        <is>
          <t>Não vendido</t>
        </is>
      </c>
      <c r="D177" s="4" t="inlineStr">
        <is>
          <t>1</t>
        </is>
      </c>
      <c r="E177" s="5" t="inlineStr">
        <is>
          <t>10.500,00</t>
        </is>
      </c>
      <c r="F177" s="4" t="inlineStr">
        <is>
          <t>500.00</t>
        </is>
      </c>
    </row>
    <row collapsed="false" customFormat="false" customHeight="false" hidden="false" ht="12.1" outlineLevel="0" r="178">
      <c r="A178" s="5" t="s">
        <f>=HYPERLINK("https://leilaoonline.net/lote/detalhe/50085", "24526")</f>
      </c>
      <c r="B178" s="4" t="s">
        <f>=HYPERLINK("https://leilaoonline.net/lote/detalhe/50085", "S. REBOQUE SR/SOUFER CA 2E S.ISABEL 12,5M, ANO 2012, FR164178, UND JATAÍ")</f>
      </c>
      <c r="C178" s="4" t="inlineStr">
        <is>
          <t>Não vendido</t>
        </is>
      </c>
      <c r="D178" s="4" t="inlineStr">
        <is>
          <t>1</t>
        </is>
      </c>
      <c r="E178" s="5" t="inlineStr">
        <is>
          <t>10.500,00</t>
        </is>
      </c>
      <c r="F178" s="4" t="inlineStr">
        <is>
          <t>500.00</t>
        </is>
      </c>
    </row>
    <row collapsed="false" customFormat="false" customHeight="false" hidden="false" ht="12.1" outlineLevel="0" r="179">
      <c r="A179" s="5" t="s">
        <f>=HYPERLINK("https://leilaoonline.net/lote/detalhe/50086", "24527")</f>
      </c>
      <c r="B179" s="4" t="s">
        <f>=HYPERLINK("https://leilaoonline.net/lote/detalhe/50086", "REBOQUE R/SOUFER CA 4E S.ISABEL 12,5M, ANO 2012, FR164187, UND JATAÍ")</f>
      </c>
      <c r="C179" s="4" t="inlineStr">
        <is>
          <t>Não vendido</t>
        </is>
      </c>
      <c r="D179" s="4" t="inlineStr">
        <is>
          <t>2</t>
        </is>
      </c>
      <c r="E179" s="5" t="inlineStr">
        <is>
          <t>11.000,00</t>
        </is>
      </c>
      <c r="F179" s="4" t="inlineStr">
        <is>
          <t>500.00</t>
        </is>
      </c>
    </row>
    <row collapsed="false" customFormat="false" customHeight="false" hidden="false" ht="12.1" outlineLevel="0" r="180">
      <c r="A180" s="5" t="s">
        <f>=HYPERLINK("https://leilaoonline.net/lote/detalhe/50087", "24528")</f>
      </c>
      <c r="B180" s="4" t="s">
        <f>=HYPERLINK("https://leilaoonline.net/lote/detalhe/50087", "REBOQUE R/SOUFER CA 4E S.ISABEL 12,5M, ANO 2012, FR164409, UND JATAÍ")</f>
      </c>
      <c r="C180" s="4" t="inlineStr">
        <is>
          <t>Não vendido</t>
        </is>
      </c>
      <c r="D180" s="4" t="inlineStr">
        <is>
          <t>0</t>
        </is>
      </c>
      <c r="E180" s="5" t="inlineStr">
        <is>
          <t>10.500,00</t>
        </is>
      </c>
      <c r="F180" s="4" t="inlineStr">
        <is>
          <t>500.00</t>
        </is>
      </c>
    </row>
    <row collapsed="false" customFormat="false" customHeight="false" hidden="false" ht="12.1" outlineLevel="0" r="181">
      <c r="A181" s="5" t="s">
        <f>=HYPERLINK("https://leilaoonline.net/lote/detalhe/50088", "24529")</f>
      </c>
      <c r="B181" s="4" t="s">
        <f>=HYPERLINK("https://leilaoonline.net/lote/detalhe/50088", "SUBSOLADOR Arado (Stara), FR165231, UND JATAÍ")</f>
      </c>
      <c r="C181" s="4" t="inlineStr">
        <is>
          <t>Não vendido</t>
        </is>
      </c>
      <c r="D181" s="4" t="inlineStr">
        <is>
          <t>2</t>
        </is>
      </c>
      <c r="E181" s="5" t="inlineStr">
        <is>
          <t>500,00</t>
        </is>
      </c>
      <c r="F181" s="4" t="inlineStr">
        <is>
          <t>150.00</t>
        </is>
      </c>
    </row>
    <row collapsed="false" customFormat="false" customHeight="false" hidden="false" ht="12.1" outlineLevel="0" r="182">
      <c r="A182" s="5" t="s">
        <f>=HYPERLINK("https://leilaoonline.net/lote/detalhe/50089", "24530")</f>
      </c>
      <c r="B182" s="4" t="s">
        <f>=HYPERLINK("https://leilaoonline.net/lote/detalhe/50089", "DOLLY USICAMP, FR164775, UND JATAÍ - VENDA SEM DOCUMENTO")</f>
      </c>
      <c r="C182" s="4" t="inlineStr">
        <is>
          <t>Não vendido</t>
        </is>
      </c>
      <c r="D182" s="4" t="inlineStr">
        <is>
          <t>17</t>
        </is>
      </c>
      <c r="E182" s="5" t="inlineStr">
        <is>
          <t>4.150,00</t>
        </is>
      </c>
      <c r="F182" s="4" t="inlineStr">
        <is>
          <t>150.00</t>
        </is>
      </c>
    </row>
    <row collapsed="false" customFormat="false" customHeight="false" hidden="false" ht="12.1" outlineLevel="0" r="183">
      <c r="A183" s="5" t="s">
        <f>=HYPERLINK("https://leilaoonline.net/lote/detalhe/50090", "24531")</f>
      </c>
      <c r="B183" s="4" t="s">
        <f>=HYPERLINK("https://leilaoonline.net/lote/detalhe/50090", "REBOQUE 4E R/RANDONSP RQ CA 12,5M, ANO 2010, FR22545, UND JATAÍ")</f>
      </c>
      <c r="C183" s="4" t="inlineStr">
        <is>
          <t>Não vendido</t>
        </is>
      </c>
      <c r="D183" s="4" t="inlineStr">
        <is>
          <t>5</t>
        </is>
      </c>
      <c r="E183" s="5" t="inlineStr">
        <is>
          <t>12.500,00</t>
        </is>
      </c>
      <c r="F183" s="4" t="inlineStr">
        <is>
          <t>500.00</t>
        </is>
      </c>
    </row>
    <row collapsed="false" customFormat="false" customHeight="false" hidden="false" ht="12.1" outlineLevel="0" r="184">
      <c r="A184" s="5" t="s">
        <f>=HYPERLINK("https://leilaoonline.net/lote/detalhe/50091", "24532")</f>
      </c>
      <c r="B184" s="4" t="s">
        <f>=HYPERLINK("https://leilaoonline.net/lote/detalhe/50091", "REBOQUE 4E R/RANDONSP RQ CA 12,5M, ANO 2010, FR22546, UND JATAÍ")</f>
      </c>
      <c r="C184" s="4" t="inlineStr">
        <is>
          <t>Não vendido</t>
        </is>
      </c>
      <c r="D184" s="4" t="inlineStr">
        <is>
          <t>7</t>
        </is>
      </c>
      <c r="E184" s="5" t="inlineStr">
        <is>
          <t>13.500,00</t>
        </is>
      </c>
      <c r="F184" s="4" t="inlineStr">
        <is>
          <t>500.00</t>
        </is>
      </c>
    </row>
    <row collapsed="false" customFormat="false" customHeight="false" hidden="false" ht="12.1" outlineLevel="0" r="185">
      <c r="A185" s="5" t="s">
        <f>=HYPERLINK("https://leilaoonline.net/lote/detalhe/50092", "24533")</f>
      </c>
      <c r="B185" s="4" t="s">
        <f>=HYPERLINK("https://leilaoonline.net/lote/detalhe/50092", "REBOQUE 4E R/RANDONSP RQ CA 12,5M, ANO 2010, FR22554, UND JATAÍ")</f>
      </c>
      <c r="C185" s="4" t="inlineStr">
        <is>
          <t>Não vendido</t>
        </is>
      </c>
      <c r="D185" s="4" t="inlineStr">
        <is>
          <t>16</t>
        </is>
      </c>
      <c r="E185" s="5" t="inlineStr">
        <is>
          <t>18.000,00</t>
        </is>
      </c>
      <c r="F185" s="4" t="inlineStr">
        <is>
          <t>500.00</t>
        </is>
      </c>
    </row>
    <row collapsed="false" customFormat="false" customHeight="false" hidden="false" ht="12.1" outlineLevel="0" r="186">
      <c r="A186" s="5" t="s">
        <f>=HYPERLINK("https://leilaoonline.net/lote/detalhe/50093", "24534")</f>
      </c>
      <c r="B186" s="4" t="s">
        <f>=HYPERLINK("https://leilaoonline.net/lote/detalhe/50093", "REBOQUE 4E R/RANDONSP RQ CA 12,5M, ANO 2010, FR36253, UND JATAÍ")</f>
      </c>
      <c r="C186" s="4" t="inlineStr">
        <is>
          <t>Não vendido</t>
        </is>
      </c>
      <c r="D186" s="4" t="inlineStr">
        <is>
          <t>2</t>
        </is>
      </c>
      <c r="E186" s="5" t="inlineStr">
        <is>
          <t>11.000,00</t>
        </is>
      </c>
      <c r="F186" s="4" t="inlineStr">
        <is>
          <t>500.00</t>
        </is>
      </c>
    </row>
    <row collapsed="false" customFormat="false" customHeight="false" hidden="false" ht="12.1" outlineLevel="0" r="187">
      <c r="A187" s="5" t="s">
        <f>=HYPERLINK("https://leilaoonline.net/lote/detalhe/50094", "24535")</f>
      </c>
      <c r="B187" s="4" t="s">
        <f>=HYPERLINK("https://leilaoonline.net/lote/detalhe/50094", "DOLLY USICAMP, FR164777, UND JATAÍ - VENDA SEM DOCUMENTO")</f>
      </c>
      <c r="C187" s="4" t="inlineStr">
        <is>
          <t>Não vendido</t>
        </is>
      </c>
      <c r="D187" s="4" t="inlineStr">
        <is>
          <t>4</t>
        </is>
      </c>
      <c r="E187" s="5" t="inlineStr">
        <is>
          <t>2.500,00</t>
        </is>
      </c>
      <c r="F187" s="4" t="inlineStr">
        <is>
          <t>250.00</t>
        </is>
      </c>
    </row>
    <row collapsed="false" customFormat="false" customHeight="false" hidden="false" ht="12.1" outlineLevel="0" r="188">
      <c r="A188" s="5" t="s">
        <f>=HYPERLINK("https://leilaoonline.net/lote/detalhe/50095", "24536")</f>
      </c>
      <c r="B188" s="4" t="s">
        <f>=HYPERLINK("https://leilaoonline.net/lote/detalhe/50095", "REBOQUE 4E R/RANDONSP RQ CA 12,5M, ANO 2010, FR36258, UND JATAÍ")</f>
      </c>
      <c r="C188" s="4" t="inlineStr">
        <is>
          <t>Não vendido</t>
        </is>
      </c>
      <c r="D188" s="4" t="inlineStr">
        <is>
          <t>4</t>
        </is>
      </c>
      <c r="E188" s="5" t="inlineStr">
        <is>
          <t>12.000,00</t>
        </is>
      </c>
      <c r="F188" s="4" t="inlineStr">
        <is>
          <t>500.00</t>
        </is>
      </c>
    </row>
    <row collapsed="false" customFormat="false" customHeight="false" hidden="false" ht="12.1" outlineLevel="0" r="189">
      <c r="A189" s="5" t="s">
        <f>=HYPERLINK("https://leilaoonline.net/lote/detalhe/50096", "24537")</f>
      </c>
      <c r="B189" s="4" t="s">
        <f>=HYPERLINK("https://leilaoonline.net/lote/detalhe/50096", "REBOQUE 4E R/RANDONSP RQ CA 12,5M, ANO 2010, FR36259, UND JATAÍ")</f>
      </c>
      <c r="C189" s="4" t="inlineStr">
        <is>
          <t>Não vendido</t>
        </is>
      </c>
      <c r="D189" s="4" t="inlineStr">
        <is>
          <t>8</t>
        </is>
      </c>
      <c r="E189" s="5" t="inlineStr">
        <is>
          <t>14.000,00</t>
        </is>
      </c>
      <c r="F189" s="4" t="inlineStr">
        <is>
          <t>500.00</t>
        </is>
      </c>
    </row>
    <row collapsed="false" customFormat="false" customHeight="false" hidden="false" ht="12.1" outlineLevel="0" r="190">
      <c r="A190" s="5" t="s">
        <f>=HYPERLINK("https://leilaoonline.net/lote/detalhe/50097", "24538")</f>
      </c>
      <c r="B190" s="4" t="s">
        <f>=HYPERLINK("https://leilaoonline.net/lote/detalhe/50097", "REBOQUE 4E R/RANDONSP RQ CA 12,5M, ANO 2010, FR36262, UND JATAÍ")</f>
      </c>
      <c r="C190" s="4" t="inlineStr">
        <is>
          <t>Não vendido</t>
        </is>
      </c>
      <c r="D190" s="4" t="inlineStr">
        <is>
          <t>14</t>
        </is>
      </c>
      <c r="E190" s="5" t="inlineStr">
        <is>
          <t>17.000,00</t>
        </is>
      </c>
      <c r="F190" s="4" t="inlineStr">
        <is>
          <t>500.00</t>
        </is>
      </c>
    </row>
  </sheetData>
  <mergeCells>
    <mergeCell ref="A2:F4"/>
    <mergeCell ref="B6:F6"/>
    <mergeCell ref="B7:F7"/>
    <mergeCell ref="B8:F8"/>
  </mergeCells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2026-09-11T13:28:07.00Z</dcterms:created>
  <dc:creator>Tellks Tecnologia</dc:creator>
  <cp:revision>0</cp:revision>
</cp:coreProperties>
</file>