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3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PÁ CAT 966 - 23 CAMINHÕES - 19 TRATORES - 26 REBOQUES - PRANCHA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29/11/2019 10:30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=HYPERLINK("https://leilaoonline.net/lote/detalhe/37834", "001")</f>
      </c>
      <c r="B11" s="4" t="s">
        <f>=HYPERLINK("https://leilaoonline.net/lote/detalhe/37834", "2200 ITENS DIVERSOS (aproximadamente) peças j.deere, case........veja descritivo de itens, S/FR, UND GASA")</f>
      </c>
      <c r="C11" s="4" t="inlineStr">
        <is>
          <t>Não vendido</t>
        </is>
      </c>
      <c r="D11" s="4" t="inlineStr">
        <is>
          <t>0</t>
        </is>
      </c>
      <c r="E11" s="5" t="inlineStr">
        <is>
          <t>2.500,00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=HYPERLINK("https://leilaoonline.net/lote/detalhe/37835", "002")</f>
      </c>
      <c r="B12" s="4" t="s">
        <f>=HYPERLINK("https://leilaoonline.net/lote/detalhe/37835", "720 ITENS DIVERSOS (APROXIMADAMENTE) PEÇAS  EIXOS E OUTROS..VEJA DESCRITIVO DE ITENS, S/FR, UND BARRA")</f>
      </c>
      <c r="C12" s="4" t="inlineStr">
        <is>
          <t>Não vendido</t>
        </is>
      </c>
      <c r="D12" s="4" t="inlineStr">
        <is>
          <t>0</t>
        </is>
      </c>
      <c r="E12" s="5" t="inlineStr">
        <is>
          <t>750,00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=HYPERLINK("https://leilaoonline.net/lote/detalhe/37836", "003")</f>
      </c>
      <c r="B13" s="4" t="s">
        <f>=HYPERLINK("https://leilaoonline.net/lote/detalhe/37836", "6900 ITENS DIVERSOS (APROXIMADAMENTE) PEÇAS CX. ROLAMENTO E OUTROS..VEJA DESCRITIVO DE ITENS, S/FR, UND C. PINTO")</f>
      </c>
      <c r="C13" s="4" t="inlineStr">
        <is>
          <t>Não vendido</t>
        </is>
      </c>
      <c r="D13" s="4" t="inlineStr">
        <is>
          <t>0</t>
        </is>
      </c>
      <c r="E13" s="5" t="inlineStr">
        <is>
          <t>2.500,00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=HYPERLINK("https://leilaoonline.net/lote/detalhe/37837", "004")</f>
      </c>
      <c r="B14" s="4" t="s">
        <f>=HYPERLINK("https://leilaoonline.net/lote/detalhe/37837", "110  ITENS DIVERSOS (APROXIMADAMENTE) PEÇAS ROLAMENTO E OUTROS..VEJA DESCRITIVO DE ITENS, S/FR, UND S. HELENA")</f>
      </c>
      <c r="C14" s="4" t="inlineStr">
        <is>
          <t>Não vendido</t>
        </is>
      </c>
      <c r="D14" s="4" t="inlineStr">
        <is>
          <t>1</t>
        </is>
      </c>
      <c r="E14" s="5" t="inlineStr">
        <is>
          <t>550,00</t>
        </is>
      </c>
      <c r="F14" s="4" t="inlineStr">
        <is>
          <t>150.00</t>
        </is>
      </c>
    </row>
    <row collapsed="false" customFormat="false" customHeight="false" hidden="false" ht="12.1" outlineLevel="0" r="15">
      <c r="A15" s="5" t="s">
        <f>=HYPERLINK("https://leilaoonline.net/lote/detalhe/37563", "2100")</f>
      </c>
      <c r="B15" s="4" t="s">
        <f>=HYPERLINK("https://leilaoonline.net/lote/detalhe/37563", " CAMINHÃO V W 26-220 6X4 EURO 3 WORKER C/ TANQUE, ANO 2011, (SEM MOTOR E CÂMBIO), S/FR, UND JATAÍ")</f>
      </c>
      <c r="C15" s="4" t="inlineStr">
        <is>
          <t>Não vendido</t>
        </is>
      </c>
      <c r="D15" s="4" t="inlineStr">
        <is>
          <t>62</t>
        </is>
      </c>
      <c r="E15" s="5" t="inlineStr">
        <is>
          <t>23.750,00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=HYPERLINK("https://leilaoonline.net/lote/detalhe/37566", "2102")</f>
      </c>
      <c r="B16" s="4" t="s">
        <f>=HYPERLINK("https://leilaoonline.net/lote/detalhe/37566", " CAMINHÃO V W26-220 6X4 EURO 3 WORKER, ANO 2008, (MOTOR E CÂMBIO faltando peças) PATRIM 141261, UND JATAÍ")</f>
      </c>
      <c r="C16" s="4" t="inlineStr">
        <is>
          <t>Não vendido</t>
        </is>
      </c>
      <c r="D16" s="4" t="inlineStr">
        <is>
          <t>56</t>
        </is>
      </c>
      <c r="E16" s="5" t="inlineStr">
        <is>
          <t>22.750,00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=HYPERLINK("https://leilaoonline.net/lote/detalhe/37565", "2105")</f>
      </c>
      <c r="B17" s="4" t="s">
        <f>=HYPERLINK("https://leilaoonline.net/lote/detalhe/37565", " CAMINHÃO V W 26-220 EURO 3 WORKER 6X4, ANO 2008, (sem motor e câmbio), PATRIM 141258, UND JATAÍ")</f>
      </c>
      <c r="C17" s="4" t="inlineStr">
        <is>
          <t>Não vendido</t>
        </is>
      </c>
      <c r="D17" s="4" t="inlineStr">
        <is>
          <t>24</t>
        </is>
      </c>
      <c r="E17" s="5" t="inlineStr">
        <is>
          <t>13.250,00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=HYPERLINK("https://leilaoonline.net/lote/detalhe/38098", "2111")</f>
      </c>
      <c r="B18" s="4" t="s">
        <f>=HYPERLINK("https://leilaoonline.net/lote/detalhe/38098", " CAMINHÃO SCANIA P124CA 6X4NZ, ANO 2003, PATRIM 32022, UND JATAÍ")</f>
      </c>
      <c r="C18" s="4" t="inlineStr">
        <is>
          <t>Não vendido</t>
        </is>
      </c>
      <c r="D18" s="4" t="inlineStr">
        <is>
          <t>31</t>
        </is>
      </c>
      <c r="E18" s="5" t="inlineStr">
        <is>
          <t>27.500,00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=HYPERLINK("https://leilaoonline.net/lote/detalhe/37833", "2120")</f>
      </c>
      <c r="B19" s="4" t="s">
        <f>=HYPERLINK("https://leilaoonline.net/lote/detalhe/37833", " TRATOR M. FERGUSON 6360, FR163413, UND JATAÍ")</f>
      </c>
      <c r="C19" s="4" t="inlineStr">
        <is>
          <t>Vendido</t>
        </is>
      </c>
      <c r="D19" s="4" t="inlineStr">
        <is>
          <t>35</t>
        </is>
      </c>
      <c r="E19" s="5" t="inlineStr">
        <is>
          <t>30.000,00</t>
        </is>
      </c>
      <c r="F19" s="4" t="inlineStr">
        <is>
          <t>500.00</t>
        </is>
      </c>
    </row>
    <row collapsed="false" customFormat="false" customHeight="false" hidden="false" ht="12.1" outlineLevel="0" r="20">
      <c r="A20" s="5" t="s">
        <f>=HYPERLINK("https://leilaoonline.net/lote/detalhe/37564", "2121")</f>
      </c>
      <c r="B20" s="4" t="s">
        <f>=HYPERLINK("https://leilaoonline.net/lote/detalhe/37564", " TRATOR M. FERGUSON 6360, FR163410, UND JATAÍ")</f>
      </c>
      <c r="C20" s="4" t="inlineStr">
        <is>
          <t>Vendido</t>
        </is>
      </c>
      <c r="D20" s="4" t="inlineStr">
        <is>
          <t>37</t>
        </is>
      </c>
      <c r="E20" s="5" t="inlineStr">
        <is>
          <t>30.500,00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=HYPERLINK("https://leilaoonline.net/lote/detalhe/37567", "2160")</f>
      </c>
      <c r="B21" s="4" t="s">
        <f>=HYPERLINK("https://leilaoonline.net/lote/detalhe/37567", "CAMINHÃO VW/BMB 31.320 CNC CM, ANO 2011/2012, S/FR, UND JATAÍ")</f>
      </c>
      <c r="C21" s="4" t="inlineStr">
        <is>
          <t>Não vendido</t>
        </is>
      </c>
      <c r="D21" s="4" t="inlineStr">
        <is>
          <t>39</t>
        </is>
      </c>
      <c r="E21" s="5" t="inlineStr">
        <is>
          <t>34.500,00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=HYPERLINK("https://leilaoonline.net/lote/detalhe/37571", "2164")</f>
      </c>
      <c r="B22" s="4" t="s">
        <f>=HYPERLINK("https://leilaoonline.net/lote/detalhe/37571", " TRANSBORDO SMR 10500 10 T, PATRIM 140969, UND JATAÍ")</f>
      </c>
      <c r="C22" s="4" t="inlineStr">
        <is>
          <t>Não vendido</t>
        </is>
      </c>
      <c r="D22" s="4" t="inlineStr">
        <is>
          <t>0</t>
        </is>
      </c>
      <c r="E22" s="5" t="inlineStr">
        <is>
          <t>1.750,00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=HYPERLINK("https://leilaoonline.net/lote/detalhe/37570", "2165")</f>
      </c>
      <c r="B23" s="4" t="s">
        <f>=HYPERLINK("https://leilaoonline.net/lote/detalhe/37570", " TRANSBORDO SMR 10500 10 T, PATRIM 140975, UND JATAÍ")</f>
      </c>
      <c r="C23" s="4" t="inlineStr">
        <is>
          <t>Não vendido</t>
        </is>
      </c>
      <c r="D23" s="4" t="inlineStr">
        <is>
          <t>0</t>
        </is>
      </c>
      <c r="E23" s="5" t="inlineStr">
        <is>
          <t>1.750,00</t>
        </is>
      </c>
      <c r="F23" s="4" t="inlineStr">
        <is>
          <t>250.00</t>
        </is>
      </c>
    </row>
    <row collapsed="false" customFormat="false" customHeight="false" hidden="false" ht="12.1" outlineLevel="0" r="24">
      <c r="A24" s="5" t="s">
        <f>=HYPERLINK("https://leilaoonline.net/lote/detalhe/37569", "2169")</f>
      </c>
      <c r="B24" s="4" t="s">
        <f>=HYPERLINK("https://leilaoonline.net/lote/detalhe/37569", " TRANSBORDO SMR 10500 10 T, PATRIM 141608, UND JATAÍ")</f>
      </c>
      <c r="C24" s="4" t="inlineStr">
        <is>
          <t>Não vendido</t>
        </is>
      </c>
      <c r="D24" s="4" t="inlineStr">
        <is>
          <t>0</t>
        </is>
      </c>
      <c r="E24" s="5" t="inlineStr">
        <is>
          <t>1.750,00</t>
        </is>
      </c>
      <c r="F24" s="4" t="inlineStr">
        <is>
          <t>250.00</t>
        </is>
      </c>
    </row>
    <row collapsed="false" customFormat="false" customHeight="false" hidden="false" ht="12.1" outlineLevel="0" r="25">
      <c r="A25" s="5" t="s">
        <f>=HYPERLINK("https://leilaoonline.net/lote/detalhe/37568", "2174")</f>
      </c>
      <c r="B25" s="4" t="s">
        <f>=HYPERLINK("https://leilaoonline.net/lote/detalhe/37568", " TRANSBORDO SMR 10500 10 T, PATRIM 140963, UND JATAÍ")</f>
      </c>
      <c r="C25" s="4" t="inlineStr">
        <is>
          <t>Não vendido</t>
        </is>
      </c>
      <c r="D25" s="4" t="inlineStr">
        <is>
          <t>0</t>
        </is>
      </c>
      <c r="E25" s="5" t="inlineStr">
        <is>
          <t>1.750,00</t>
        </is>
      </c>
      <c r="F25" s="4" t="inlineStr">
        <is>
          <t>250.00</t>
        </is>
      </c>
    </row>
    <row collapsed="false" customFormat="false" customHeight="false" hidden="false" ht="12.1" outlineLevel="0" r="26">
      <c r="A26" s="5" t="s">
        <f>=HYPERLINK("https://leilaoonline.net/lote/detalhe/37572", "2175")</f>
      </c>
      <c r="B26" s="4" t="s">
        <f>=HYPERLINK("https://leilaoonline.net/lote/detalhe/37572", " TRANSBORDO SMR 10500 10 T, PATRIM 141756, UND JATAÍ")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1.750,00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=HYPERLINK("https://leilaoonline.net/lote/detalhe/37573", "2183")</f>
      </c>
      <c r="B27" s="4" t="s">
        <f>=HYPERLINK("https://leilaoonline.net/lote/detalhe/37573", " TRANSBORDO SMR 10500 10 T, S/FR, UND JATAÍ")</f>
      </c>
      <c r="C27" s="4" t="inlineStr">
        <is>
          <t>Não vendido</t>
        </is>
      </c>
      <c r="D27" s="4" t="inlineStr">
        <is>
          <t>0</t>
        </is>
      </c>
      <c r="E27" s="5" t="inlineStr">
        <is>
          <t>1.750,00</t>
        </is>
      </c>
      <c r="F27" s="4" t="inlineStr">
        <is>
          <t>250.00</t>
        </is>
      </c>
    </row>
    <row collapsed="false" customFormat="false" customHeight="false" hidden="false" ht="12.1" outlineLevel="0" r="28">
      <c r="A28" s="5" t="s">
        <f>=HYPERLINK("https://leilaoonline.net/lote/detalhe/37574", "2185")</f>
      </c>
      <c r="B28" s="4" t="s">
        <f>=HYPERLINK("https://leilaoonline.net/lote/detalhe/37574", "TRANSBORDO SMR 10500 10 T, S/FR, UND JATAÍ")</f>
      </c>
      <c r="C28" s="4" t="inlineStr">
        <is>
          <t>Não vendido</t>
        </is>
      </c>
      <c r="D28" s="4" t="inlineStr">
        <is>
          <t>0</t>
        </is>
      </c>
      <c r="E28" s="5" t="inlineStr">
        <is>
          <t>1.750,00</t>
        </is>
      </c>
      <c r="F28" s="4" t="inlineStr">
        <is>
          <t>250.00</t>
        </is>
      </c>
    </row>
    <row collapsed="false" customFormat="false" customHeight="false" hidden="false" ht="12.1" outlineLevel="0" r="29">
      <c r="A29" s="5" t="s">
        <f>=HYPERLINK("https://leilaoonline.net/lote/detalhe/37576", "2190")</f>
      </c>
      <c r="B29" s="4" t="s">
        <f>=HYPERLINK("https://leilaoonline.net/lote/detalhe/37576", " TRANSBORDO SMR 10500 10 T, S/FR, UND JATAÍ")</f>
      </c>
      <c r="C29" s="4" t="inlineStr">
        <is>
          <t>Não vendido</t>
        </is>
      </c>
      <c r="D29" s="4" t="inlineStr">
        <is>
          <t>0</t>
        </is>
      </c>
      <c r="E29" s="5" t="inlineStr">
        <is>
          <t>750,00</t>
        </is>
      </c>
      <c r="F29" s="4" t="inlineStr">
        <is>
          <t>150.00</t>
        </is>
      </c>
    </row>
    <row collapsed="false" customFormat="false" customHeight="false" hidden="false" ht="12.1" outlineLevel="0" r="30">
      <c r="A30" s="5" t="s">
        <f>=HYPERLINK("https://leilaoonline.net/lote/detalhe/37575", "2200")</f>
      </c>
      <c r="B30" s="4" t="s">
        <f>=HYPERLINK("https://leilaoonline.net/lote/detalhe/37575", " TRANSBORDO CASE 8 T, S/FR, UND JATAÍ")</f>
      </c>
      <c r="C30" s="4" t="inlineStr">
        <is>
          <t>Não vendido</t>
        </is>
      </c>
      <c r="D30" s="4" t="inlineStr">
        <is>
          <t>0</t>
        </is>
      </c>
      <c r="E30" s="5" t="inlineStr">
        <is>
          <t>1.750,00</t>
        </is>
      </c>
      <c r="F30" s="4" t="inlineStr">
        <is>
          <t>250.00</t>
        </is>
      </c>
    </row>
    <row collapsed="false" customFormat="false" customHeight="false" hidden="false" ht="12.1" outlineLevel="0" r="31">
      <c r="A31" s="5" t="s">
        <f>=HYPERLINK("https://leilaoonline.net/lote/detalhe/37577", "2219")</f>
      </c>
      <c r="B31" s="4" t="s">
        <f>=HYPERLINK("https://leilaoonline.net/lote/detalhe/37577", " TRANSBORDO SMR 10500 10 T, PATRIM 140983, UND JATAÍ")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2.250,00</t>
        </is>
      </c>
      <c r="F31" s="4" t="inlineStr">
        <is>
          <t>250.00</t>
        </is>
      </c>
    </row>
    <row collapsed="false" customFormat="false" customHeight="false" hidden="false" ht="12.1" outlineLevel="0" r="32">
      <c r="A32" s="5" t="s">
        <f>=HYPERLINK("https://leilaoonline.net/lote/detalhe/37579", "2232")</f>
      </c>
      <c r="B32" s="4" t="s">
        <f>=HYPERLINK("https://leilaoonline.net/lote/detalhe/37579", "1 CAIXA DE TRANSBORDO C/ DIVERSAS PEÇAS, S/FR, UND JATAÍ")</f>
      </c>
      <c r="C32" s="4" t="inlineStr">
        <is>
          <t>Não vendido</t>
        </is>
      </c>
      <c r="D32" s="4" t="inlineStr">
        <is>
          <t>1</t>
        </is>
      </c>
      <c r="E32" s="5" t="inlineStr">
        <is>
          <t>750,00</t>
        </is>
      </c>
      <c r="F32" s="4" t="inlineStr">
        <is>
          <t>150.00</t>
        </is>
      </c>
    </row>
    <row collapsed="false" customFormat="false" customHeight="false" hidden="false" ht="12.1" outlineLevel="0" r="33">
      <c r="A33" s="5" t="s">
        <f>=HYPERLINK("https://leilaoonline.net/lote/detalhe/37580", "2234")</f>
      </c>
      <c r="B33" s="4" t="s">
        <f>=HYPERLINK("https://leilaoonline.net/lote/detalhe/37580", " REBOQUE ANTONINI 7,60M, ANO 1996, CARROCERIA TRANSBORDO, S/FR, UND JATAÍ")</f>
      </c>
      <c r="C33" s="4" t="inlineStr">
        <is>
          <t>Vendido</t>
        </is>
      </c>
      <c r="D33" s="4" t="inlineStr">
        <is>
          <t>1</t>
        </is>
      </c>
      <c r="E33" s="5" t="inlineStr">
        <is>
          <t>6.750,00</t>
        </is>
      </c>
      <c r="F33" s="4" t="inlineStr">
        <is>
          <t>250.00</t>
        </is>
      </c>
    </row>
    <row collapsed="false" customFormat="false" customHeight="false" hidden="false" ht="12.1" outlineLevel="0" r="34">
      <c r="A34" s="5" t="s">
        <f>=HYPERLINK("https://leilaoonline.net/lote/detalhe/37578", "2235")</f>
      </c>
      <c r="B34" s="4" t="s">
        <f>=HYPERLINK("https://leilaoonline.net/lote/detalhe/37578", "1 DISJUNTOR GD HITACHI, 3 DISJUNTOR PQ E 3 SUCATA DE TRANSFORMADOR, UND JATAÍ")</f>
      </c>
      <c r="C34" s="4" t="inlineStr">
        <is>
          <t>Não vendido</t>
        </is>
      </c>
      <c r="D34" s="4" t="inlineStr">
        <is>
          <t>1</t>
        </is>
      </c>
      <c r="E34" s="5" t="inlineStr">
        <is>
          <t>1.750,00</t>
        </is>
      </c>
      <c r="F34" s="4" t="inlineStr">
        <is>
          <t>150.00</t>
        </is>
      </c>
    </row>
    <row collapsed="false" customFormat="false" customHeight="false" hidden="false" ht="12.1" outlineLevel="0" r="35">
      <c r="A35" s="5" t="s">
        <f>=HYPERLINK("https://leilaoonline.net/lote/detalhe/37581", "2246")</f>
      </c>
      <c r="B35" s="4" t="s">
        <f>=HYPERLINK("https://leilaoonline.net/lote/detalhe/37581", "1 CARRETA DE SERVIÇOS DIVERSOS, S/FR 163711, UND JATAÍ")</f>
      </c>
      <c r="C35" s="4" t="inlineStr">
        <is>
          <t>Vendido</t>
        </is>
      </c>
      <c r="D35" s="4" t="inlineStr">
        <is>
          <t>11</t>
        </is>
      </c>
      <c r="E35" s="5" t="inlineStr">
        <is>
          <t>1.200,00</t>
        </is>
      </c>
      <c r="F35" s="4" t="inlineStr">
        <is>
          <t>100.00</t>
        </is>
      </c>
    </row>
    <row collapsed="false" customFormat="false" customHeight="false" hidden="false" ht="12.1" outlineLevel="0" r="36">
      <c r="A36" s="5" t="s">
        <f>=HYPERLINK("https://leilaoonline.net/lote/detalhe/37586", "2250")</f>
      </c>
      <c r="B36" s="4" t="s">
        <f>=HYPERLINK("https://leilaoonline.net/lote/detalhe/37586", " 2 COBRIDOR, FR165264/62, UND JATAÍ")</f>
      </c>
      <c r="C36" s="4" t="inlineStr">
        <is>
          <t>Não vendido</t>
        </is>
      </c>
      <c r="D36" s="4" t="inlineStr">
        <is>
          <t>8</t>
        </is>
      </c>
      <c r="E36" s="5" t="inlineStr">
        <is>
          <t>1.200,00</t>
        </is>
      </c>
      <c r="F36" s="4" t="inlineStr">
        <is>
          <t>100.00</t>
        </is>
      </c>
    </row>
    <row collapsed="false" customFormat="false" customHeight="false" hidden="false" ht="12.1" outlineLevel="0" r="37">
      <c r="A37" s="5" t="s">
        <f>=HYPERLINK("https://leilaoonline.net/lote/detalhe/37588", "2251")</f>
      </c>
      <c r="B37" s="4" t="s">
        <f>=HYPERLINK("https://leilaoonline.net/lote/detalhe/37588", " S.REBOQUE REB/TECTRAN SRCM F2 9,60 M, ANO 1994, UND JATAÍ (sem pneus e sapata hidráulica) ")</f>
      </c>
      <c r="C37" s="4" t="inlineStr">
        <is>
          <t>Não vendido</t>
        </is>
      </c>
      <c r="D37" s="4" t="inlineStr">
        <is>
          <t>0</t>
        </is>
      </c>
      <c r="E37" s="5" t="inlineStr">
        <is>
          <t>8.750,00</t>
        </is>
      </c>
      <c r="F37" s="4" t="inlineStr">
        <is>
          <t>250.00</t>
        </is>
      </c>
    </row>
    <row collapsed="false" customFormat="false" customHeight="false" hidden="false" ht="12.1" outlineLevel="0" r="38">
      <c r="A38" s="5" t="s">
        <f>=HYPERLINK("https://leilaoonline.net/lote/detalhe/37584", "2253")</f>
      </c>
      <c r="B38" s="4" t="s">
        <f>=HYPERLINK("https://leilaoonline.net/lote/detalhe/37584", " 1 CARRETA P/ TUBO, FR163701, UND JATAÍ")</f>
      </c>
      <c r="C38" s="4" t="inlineStr">
        <is>
          <t>Não vendido</t>
        </is>
      </c>
      <c r="D38" s="4" t="inlineStr">
        <is>
          <t>2</t>
        </is>
      </c>
      <c r="E38" s="5" t="inlineStr">
        <is>
          <t>600,00</t>
        </is>
      </c>
      <c r="F38" s="4" t="inlineStr">
        <is>
          <t>100.00</t>
        </is>
      </c>
    </row>
    <row collapsed="false" customFormat="false" customHeight="false" hidden="false" ht="12.1" outlineLevel="0" r="39">
      <c r="A39" s="5" t="s">
        <f>=HYPERLINK("https://leilaoonline.net/lote/detalhe/37585", "2254")</f>
      </c>
      <c r="B39" s="4" t="s">
        <f>=HYPERLINK("https://leilaoonline.net/lote/detalhe/37585", " 1 SUCATA DE GRADE C/12 DISCOS, FR165231, UND JATAÍ")</f>
      </c>
      <c r="C39" s="4" t="inlineStr">
        <is>
          <t>Não vendido</t>
        </is>
      </c>
      <c r="D39" s="4" t="inlineStr">
        <is>
          <t>16</t>
        </is>
      </c>
      <c r="E39" s="5" t="inlineStr">
        <is>
          <t>2.750,00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=HYPERLINK("https://leilaoonline.net/lote/detalhe/37587", "2255")</f>
      </c>
      <c r="B40" s="4" t="s">
        <f>=HYPERLINK("https://leilaoonline.net/lote/detalhe/37587", " 1 CARRETA P/ TUBO, FR163706, UND JATAÍ")</f>
      </c>
      <c r="C40" s="4" t="inlineStr">
        <is>
          <t>Não vendido</t>
        </is>
      </c>
      <c r="D40" s="4" t="inlineStr">
        <is>
          <t>4</t>
        </is>
      </c>
      <c r="E40" s="5" t="inlineStr">
        <is>
          <t>800,00</t>
        </is>
      </c>
      <c r="F40" s="4" t="inlineStr">
        <is>
          <t>100.00</t>
        </is>
      </c>
    </row>
    <row collapsed="false" customFormat="false" customHeight="false" hidden="false" ht="12.1" outlineLevel="0" r="41">
      <c r="A41" s="5" t="s">
        <f>=HYPERLINK("https://leilaoonline.net/lote/detalhe/37583", "2256")</f>
      </c>
      <c r="B41" s="4" t="s">
        <f>=HYPERLINK("https://leilaoonline.net/lote/detalhe/37583", " 2 COBRIDOR, FR165334/165261, UND JATAÍ")</f>
      </c>
      <c r="C41" s="4" t="inlineStr">
        <is>
          <t>Não vendido</t>
        </is>
      </c>
      <c r="D41" s="4" t="inlineStr">
        <is>
          <t>9</t>
        </is>
      </c>
      <c r="E41" s="5" t="inlineStr">
        <is>
          <t>1.300,00</t>
        </is>
      </c>
      <c r="F41" s="4" t="inlineStr">
        <is>
          <t>100.00</t>
        </is>
      </c>
    </row>
    <row collapsed="false" customFormat="false" customHeight="false" hidden="false" ht="12.1" outlineLevel="0" r="42">
      <c r="A42" s="5" t="s">
        <f>=HYPERLINK("https://leilaoonline.net/lote/detalhe/37582", "2258")</f>
      </c>
      <c r="B42" s="4" t="s">
        <f>=HYPERLINK("https://leilaoonline.net/lote/detalhe/37582", " 4 SUCATA DE IMPLEMENTO, S/FR, UND JATAÍ")</f>
      </c>
      <c r="C42" s="4" t="inlineStr">
        <is>
          <t>Vendido</t>
        </is>
      </c>
      <c r="D42" s="4" t="inlineStr">
        <is>
          <t>13</t>
        </is>
      </c>
      <c r="E42" s="5" t="inlineStr">
        <is>
          <t>2.550,00</t>
        </is>
      </c>
      <c r="F42" s="4" t="inlineStr">
        <is>
          <t>150.00</t>
        </is>
      </c>
    </row>
    <row collapsed="false" customFormat="false" customHeight="false" hidden="false" ht="12.1" outlineLevel="0" r="43">
      <c r="A43" s="5" t="s">
        <f>=HYPERLINK("https://leilaoonline.net/lote/detalhe/37830", "2262")</f>
      </c>
      <c r="B43" s="4" t="s">
        <f>=HYPERLINK("https://leilaoonline.net/lote/detalhe/37830", " 1 MOTO BOMBA, FR164823, UND JATAÍ")</f>
      </c>
      <c r="C43" s="4" t="inlineStr">
        <is>
          <t>Não vendido</t>
        </is>
      </c>
      <c r="D43" s="4" t="inlineStr">
        <is>
          <t>15</t>
        </is>
      </c>
      <c r="E43" s="5" t="inlineStr">
        <is>
          <t>7.500,00</t>
        </is>
      </c>
      <c r="F43" s="4" t="inlineStr">
        <is>
          <t>250.00</t>
        </is>
      </c>
    </row>
    <row collapsed="false" customFormat="false" customHeight="false" hidden="false" ht="12.1" outlineLevel="0" r="44">
      <c r="A44" s="5" t="s">
        <f>=HYPERLINK("https://leilaoonline.net/lote/detalhe/37592", "2264")</f>
      </c>
      <c r="B44" s="4" t="s">
        <f>=HYPERLINK("https://leilaoonline.net/lote/detalhe/37592", " SUCATA DE IMPLEMENTO, FR165245, (EIXO DE DOLLY NÃO FAZ PARTE), UND JATAÍ")</f>
      </c>
      <c r="C44" s="4" t="inlineStr">
        <is>
          <t>Vendido</t>
        </is>
      </c>
      <c r="D44" s="4" t="inlineStr">
        <is>
          <t>21</t>
        </is>
      </c>
      <c r="E44" s="5" t="inlineStr">
        <is>
          <t>2.300,00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=HYPERLINK("https://leilaoonline.net/lote/detalhe/37831", "2265")</f>
      </c>
      <c r="B45" s="4" t="s">
        <f>=HYPERLINK("https://leilaoonline.net/lote/detalhe/37831", " GRADE 28 DISCOS, FR165243")</f>
      </c>
      <c r="C45" s="4" t="inlineStr">
        <is>
          <t>Não vendido</t>
        </is>
      </c>
      <c r="D45" s="4" t="inlineStr">
        <is>
          <t>65</t>
        </is>
      </c>
      <c r="E45" s="5" t="inlineStr">
        <is>
          <t>16.750,00</t>
        </is>
      </c>
      <c r="F45" s="4" t="inlineStr">
        <is>
          <t>250.00</t>
        </is>
      </c>
    </row>
    <row collapsed="false" customFormat="false" customHeight="false" hidden="false" ht="12.1" outlineLevel="0" r="46">
      <c r="A46" s="5" t="s">
        <f>=HYPERLINK("https://leilaoonline.net/lote/detalhe/37591", "2269")</f>
      </c>
      <c r="B46" s="4" t="s">
        <f>=HYPERLINK("https://leilaoonline.net/lote/detalhe/37591", " 1 CARRETA DE AREA DE VIVENCIA, S/FR, UND JATAÍ")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500,00</t>
        </is>
      </c>
      <c r="F46" s="4" t="inlineStr">
        <is>
          <t>100.00</t>
        </is>
      </c>
    </row>
    <row collapsed="false" customFormat="false" customHeight="false" hidden="false" ht="12.1" outlineLevel="0" r="47">
      <c r="A47" s="5" t="s">
        <f>=HYPERLINK("https://leilaoonline.net/lote/detalhe/37590", "2270")</f>
      </c>
      <c r="B47" s="4" t="s">
        <f>=HYPERLINK("https://leilaoonline.net/lote/detalhe/37590", " 1 CARRETA DE AREA DE VIVENCIA, S/FR, UND JATAÍ")</f>
      </c>
      <c r="C47" s="4" t="inlineStr">
        <is>
          <t>Vendido</t>
        </is>
      </c>
      <c r="D47" s="4" t="inlineStr">
        <is>
          <t>1</t>
        </is>
      </c>
      <c r="E47" s="5" t="inlineStr">
        <is>
          <t>500,00</t>
        </is>
      </c>
      <c r="F47" s="4" t="inlineStr">
        <is>
          <t>100.00</t>
        </is>
      </c>
    </row>
    <row collapsed="false" customFormat="false" customHeight="false" hidden="false" ht="12.1" outlineLevel="0" r="48">
      <c r="A48" s="5" t="s">
        <f>=HYPERLINK("https://leilaoonline.net/lote/detalhe/37593", "2271")</f>
      </c>
      <c r="B48" s="4" t="s">
        <f>=HYPERLINK("https://leilaoonline.net/lote/detalhe/37593", " 3 IMPLEMENTO, S/FR, UND JATAÍ")</f>
      </c>
      <c r="C48" s="4" t="inlineStr">
        <is>
          <t>Não vendido</t>
        </is>
      </c>
      <c r="D48" s="4" t="inlineStr">
        <is>
          <t>2</t>
        </is>
      </c>
      <c r="E48" s="5" t="inlineStr">
        <is>
          <t>1.400,00</t>
        </is>
      </c>
      <c r="F48" s="4" t="inlineStr">
        <is>
          <t>150.00</t>
        </is>
      </c>
    </row>
    <row collapsed="false" customFormat="false" customHeight="false" hidden="false" ht="12.1" outlineLevel="0" r="49">
      <c r="A49" s="5" t="s">
        <f>=HYPERLINK("https://leilaoonline.net/lote/detalhe/37594", "2278")</f>
      </c>
      <c r="B49" s="4" t="s">
        <f>=HYPERLINK("https://leilaoonline.net/lote/detalhe/37594", " S.REBOQUE REB/ANTONINI 9,60 M, ANO 1993, UND JATAÍ (sem pneus e sapata hidráulica) ")</f>
      </c>
      <c r="C49" s="4" t="inlineStr">
        <is>
          <t>Não vendido</t>
        </is>
      </c>
      <c r="D49" s="4" t="inlineStr">
        <is>
          <t>0</t>
        </is>
      </c>
      <c r="E49" s="5" t="inlineStr">
        <is>
          <t>12.500,00</t>
        </is>
      </c>
      <c r="F49" s="4" t="inlineStr">
        <is>
          <t>250.00</t>
        </is>
      </c>
    </row>
    <row collapsed="false" customFormat="false" customHeight="false" hidden="false" ht="12.1" outlineLevel="0" r="50">
      <c r="A50" s="5" t="s">
        <f>=HYPERLINK("https://leilaoonline.net/lote/detalhe/37595", "2279")</f>
      </c>
      <c r="B50" s="4" t="s">
        <f>=HYPERLINK("https://leilaoonline.net/lote/detalhe/37595", " S.REBOQUE REB/ANTONINI 9,60 M, ANO 1993, UND JATAÍ (sem pneus e sapata hidráulica)")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12.500,00</t>
        </is>
      </c>
      <c r="F50" s="4" t="inlineStr">
        <is>
          <t>250.00</t>
        </is>
      </c>
    </row>
    <row collapsed="false" customFormat="false" customHeight="false" hidden="false" ht="12.1" outlineLevel="0" r="51">
      <c r="A51" s="5" t="s">
        <f>=HYPERLINK("https://leilaoonline.net/lote/detalhe/37838", "2280")</f>
      </c>
      <c r="B51" s="4" t="s">
        <f>=HYPERLINK("https://leilaoonline.net/lote/detalhe/37838", "270 ITENS DIVERSOS (APROXIMADAMENTE) PEÇAS TRANSFORMADOR E OUTROS..VEJA DESCRITIVO DE ITENS, S/FR, UND CAARAPO")</f>
      </c>
      <c r="C51" s="4" t="inlineStr">
        <is>
          <t>Não vendido</t>
        </is>
      </c>
      <c r="D51" s="4" t="inlineStr">
        <is>
          <t>0</t>
        </is>
      </c>
      <c r="E51" s="5" t="inlineStr">
        <is>
          <t>750,00</t>
        </is>
      </c>
      <c r="F51" s="4" t="inlineStr">
        <is>
          <t>150.00</t>
        </is>
      </c>
    </row>
    <row collapsed="false" customFormat="false" customHeight="false" hidden="false" ht="12.1" outlineLevel="0" r="52">
      <c r="A52" s="5" t="s">
        <f>=HYPERLINK("https://leilaoonline.net/lote/detalhe/37841", "2281")</f>
      </c>
      <c r="B52" s="4" t="s">
        <f>=HYPERLINK("https://leilaoonline.net/lote/detalhe/37841", "veja descritivo 15000 ITENS diversos - 146 kg estanho/outros - 480 mts eletroduto/outrs - 10m2 manta (quantidades aproximada), S/FR UND PARAGUAÇU")</f>
      </c>
      <c r="C52" s="4" t="inlineStr">
        <is>
          <t>Não vendido</t>
        </is>
      </c>
      <c r="D52" s="4" t="inlineStr">
        <is>
          <t>1</t>
        </is>
      </c>
      <c r="E52" s="5" t="inlineStr">
        <is>
          <t>3.500,00</t>
        </is>
      </c>
      <c r="F52" s="4" t="inlineStr">
        <is>
          <t>250.00</t>
        </is>
      </c>
    </row>
    <row collapsed="false" customFormat="false" customHeight="false" hidden="false" ht="12.1" outlineLevel="0" r="53">
      <c r="A53" s="5" t="s">
        <f>=HYPERLINK("https://leilaoonline.net/lote/detalhe/37597", "2282")</f>
      </c>
      <c r="B53" s="4" t="s">
        <f>=HYPERLINK("https://leilaoonline.net/lote/detalhe/37597", " REBOQUE R/RANDON RQ CA 12,5M, ANO 2010, UND JATAÍ (sem pneus e sapata hidráulica)")</f>
      </c>
      <c r="C53" s="4" t="inlineStr">
        <is>
          <t>Não vendido</t>
        </is>
      </c>
      <c r="D53" s="4" t="inlineStr">
        <is>
          <t>25</t>
        </is>
      </c>
      <c r="E53" s="5" t="inlineStr">
        <is>
          <t>24.500,00</t>
        </is>
      </c>
      <c r="F53" s="4" t="inlineStr">
        <is>
          <t>500.00</t>
        </is>
      </c>
    </row>
    <row collapsed="false" customFormat="false" customHeight="false" hidden="false" ht="12.1" outlineLevel="0" r="54">
      <c r="A54" s="5" t="s">
        <f>=HYPERLINK("https://leilaoonline.net/lote/detalhe/37598", "2304")</f>
      </c>
      <c r="B54" s="4" t="s">
        <f>=HYPERLINK("https://leilaoonline.net/lote/detalhe/37598", "SUCATA MISTA  CAVACO BRONZE/FERRO, S/FR, UND CAARAPÓ")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200,00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=HYPERLINK("https://leilaoonline.net/lote/detalhe/37599", "2305")</f>
      </c>
      <c r="B55" s="4" t="s">
        <f>=HYPERLINK("https://leilaoonline.net/lote/detalhe/37599", "ARCO DE CHAPA, S/FR, UND GASA")</f>
      </c>
      <c r="C55" s="4" t="inlineStr">
        <is>
          <t>Não vendido</t>
        </is>
      </c>
      <c r="D55" s="4" t="inlineStr">
        <is>
          <t>0</t>
        </is>
      </c>
      <c r="E55" s="5" t="inlineStr">
        <is>
          <t>250,00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=HYPERLINK("https://leilaoonline.net/lote/detalhe/37832", "2306")</f>
      </c>
      <c r="B56" s="4" t="s">
        <f>=HYPERLINK("https://leilaoonline.net/lote/detalhe/37832", "DIVERSAS CADEIRAS, MAQUINA DE CAFÉ, CESTO DE LIXO BLINOX, BEBEDOUROS ( SEM A TORNEIRA) UNIDADE CAARAPO")</f>
      </c>
      <c r="C56" s="4" t="inlineStr">
        <is>
          <t>Não vendido</t>
        </is>
      </c>
      <c r="D56" s="4" t="inlineStr">
        <is>
          <t>1</t>
        </is>
      </c>
      <c r="E56" s="5" t="inlineStr">
        <is>
          <t>350,00</t>
        </is>
      </c>
      <c r="F56" s="4" t="inlineStr">
        <is>
          <t>50.00</t>
        </is>
      </c>
    </row>
    <row collapsed="false" customFormat="false" customHeight="false" hidden="false" ht="12.1" outlineLevel="0" r="57">
      <c r="A57" s="5" t="s">
        <f>=HYPERLINK("https://leilaoonline.net/lote/detalhe/37829", "2307")</f>
      </c>
      <c r="B57" s="4" t="s">
        <f>=HYPERLINK("https://leilaoonline.net/lote/detalhe/37829", "BOILERS RESERVATÓRIO TÉRMICO HELIOTEK, S/FR, UND JATAÍ, (veja baixo)")</f>
      </c>
      <c r="C57" s="4" t="inlineStr">
        <is>
          <t>Não vendido</t>
        </is>
      </c>
      <c r="D57" s="4" t="inlineStr">
        <is>
          <t>1</t>
        </is>
      </c>
      <c r="E57" s="5" t="inlineStr">
        <is>
          <t>300,00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=HYPERLINK("https://leilaoonline.net/lote/detalhe/37081", "2459")</f>
      </c>
      <c r="B58" s="4" t="s">
        <f>=HYPERLINK("https://leilaoonline.net/lote/detalhe/37081", "SUCATAS DE EQUIPAMENTOS DIVERSOS, S/FR, UND DIAMANTE ")</f>
      </c>
      <c r="C58" s="4" t="inlineStr">
        <is>
          <t>Vendido</t>
        </is>
      </c>
      <c r="D58" s="4" t="inlineStr">
        <is>
          <t>67</t>
        </is>
      </c>
      <c r="E58" s="5" t="inlineStr">
        <is>
          <t>4.150,00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=HYPERLINK("https://leilaoonline.net/lote/detalhe/36861", "2461")</f>
      </c>
      <c r="B59" s="4" t="s">
        <f>=HYPERLINK("https://leilaoonline.net/lote/detalhe/36861", "GRADE HIDRÁULICA DE 28 DISCOS, FR74250, PATR. 74931, UND. DIAMANTE ")</f>
      </c>
      <c r="C59" s="4" t="inlineStr">
        <is>
          <t>Vendido</t>
        </is>
      </c>
      <c r="D59" s="4" t="inlineStr">
        <is>
          <t>49</t>
        </is>
      </c>
      <c r="E59" s="5" t="inlineStr">
        <is>
          <t>9.650,00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=HYPERLINK("https://leilaoonline.net/lote/detalhe/36860", "2462")</f>
      </c>
      <c r="B60" s="4" t="s">
        <f>=HYPERLINK("https://leilaoonline.net/lote/detalhe/36860", "DOLLY , FR/97984, UND. DIAMANTE (sem documento)")</f>
      </c>
      <c r="C60" s="4" t="inlineStr">
        <is>
          <t>Vendido</t>
        </is>
      </c>
      <c r="D60" s="4" t="inlineStr">
        <is>
          <t>18</t>
        </is>
      </c>
      <c r="E60" s="5" t="inlineStr">
        <is>
          <t>5.700,00</t>
        </is>
      </c>
      <c r="F60" s="4" t="inlineStr">
        <is>
          <t>150.00</t>
        </is>
      </c>
    </row>
    <row collapsed="false" customFormat="false" customHeight="false" hidden="false" ht="12.1" outlineLevel="0" r="61">
      <c r="A61" s="5" t="s">
        <f>=HYPERLINK("https://leilaoonline.net/lote/detalhe/36897", "2463")</f>
      </c>
      <c r="B61" s="4" t="s">
        <f>=HYPERLINK("https://leilaoonline.net/lote/detalhe/36897", "SONDA HORIZONTAL COR VERDE, PATR.66678, UND. DIAMANTE ")</f>
      </c>
      <c r="C61" s="4" t="inlineStr">
        <is>
          <t>Não vendido</t>
        </is>
      </c>
      <c r="D61" s="4" t="inlineStr">
        <is>
          <t>1</t>
        </is>
      </c>
      <c r="E61" s="5" t="inlineStr">
        <is>
          <t>550,00</t>
        </is>
      </c>
      <c r="F61" s="4" t="inlineStr">
        <is>
          <t>150.00</t>
        </is>
      </c>
    </row>
    <row collapsed="false" customFormat="false" customHeight="false" hidden="false" ht="12.1" outlineLevel="0" r="62">
      <c r="A62" s="5" t="s">
        <f>=HYPERLINK("https://leilaoonline.net/lote/detalhe/37665", "2466")</f>
      </c>
      <c r="B62" s="4" t="s">
        <f>=HYPERLINK("https://leilaoonline.net/lote/detalhe/37665", "DIVERSOS. SUCATA DE MOVEIS, PIA, CADEIRAS E OUTROS, S/FR, UND DIAMANTE")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100,00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=HYPERLINK("https://leilaoonline.net/lote/detalhe/36898", "2467")</f>
      </c>
      <c r="B63" s="4" t="s">
        <f>=HYPERLINK("https://leilaoonline.net/lote/detalhe/36898", "ARMÁRIO MADEIRA 8 PORTAS C/ COLUNAS DE FERRO, APROX.2M ALT. X 5M DE COMP. UND DIAMANTE")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50,00</t>
        </is>
      </c>
      <c r="F63" s="4" t="inlineStr">
        <is>
          <t>50.00</t>
        </is>
      </c>
    </row>
    <row collapsed="false" customFormat="false" customHeight="false" hidden="false" ht="12.1" outlineLevel="0" r="64">
      <c r="A64" s="5" t="s">
        <f>=HYPERLINK("https://leilaoonline.net/lote/detalhe/37506", "2470")</f>
      </c>
      <c r="B64" s="4" t="s">
        <f>=HYPERLINK("https://leilaoonline.net/lote/detalhe/37506", "1 REVERSOR MARÍTIMO DESMONTADO, 6 MACACOS E 1 BEBEDOURO, S/FR, UND DIAMANTE")</f>
      </c>
      <c r="C64" s="4" t="inlineStr">
        <is>
          <t>Vendido</t>
        </is>
      </c>
      <c r="D64" s="4" t="inlineStr">
        <is>
          <t>4</t>
        </is>
      </c>
      <c r="E64" s="5" t="inlineStr">
        <is>
          <t>350,00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=HYPERLINK("https://leilaoonline.net/lote/detalhe/37497", "3686")</f>
      </c>
      <c r="B65" s="4" t="s">
        <f>=HYPERLINK("https://leilaoonline.net/lote/detalhe/37497", " R/RANDONSP RQ CA, ANO 2012, FR96842, UND BARRA       ")</f>
      </c>
      <c r="C65" s="4" t="inlineStr">
        <is>
          <t>Não vendido</t>
        </is>
      </c>
      <c r="D65" s="4" t="inlineStr">
        <is>
          <t>1</t>
        </is>
      </c>
      <c r="E65" s="5" t="inlineStr">
        <is>
          <t>15.000,00</t>
        </is>
      </c>
      <c r="F65" s="4" t="inlineStr">
        <is>
          <t>500.00</t>
        </is>
      </c>
    </row>
    <row collapsed="false" customFormat="false" customHeight="false" hidden="false" ht="12.1" outlineLevel="0" r="66">
      <c r="A66" s="5" t="s">
        <f>=HYPERLINK("https://leilaoonline.net/lote/detalhe/37080", "3747")</f>
      </c>
      <c r="B66" s="4" t="s">
        <f>=HYPERLINK("https://leilaoonline.net/lote/detalhe/37080", " TRANSBORDO ATONIOSI E TUBOS DE PVC, FR101984, UND BARRA")</f>
      </c>
      <c r="C66" s="4" t="inlineStr">
        <is>
          <t>Não vendido</t>
        </is>
      </c>
      <c r="D66" s="4" t="inlineStr">
        <is>
          <t>0</t>
        </is>
      </c>
      <c r="E66" s="5" t="inlineStr">
        <is>
          <t>2.750,00</t>
        </is>
      </c>
      <c r="F66" s="4" t="inlineStr">
        <is>
          <t>250.00</t>
        </is>
      </c>
    </row>
    <row collapsed="false" customFormat="false" customHeight="false" hidden="false" ht="12.1" outlineLevel="0" r="67">
      <c r="A67" s="5" t="s">
        <f>=HYPERLINK("https://leilaoonline.net/lote/detalhe/37083", "3753")</f>
      </c>
      <c r="B67" s="4" t="s">
        <f>=HYPERLINK("https://leilaoonline.net/lote/detalhe/37083", " CARRETA SERVIÇO DIVERSOS, FR165201, UND BARRA")</f>
      </c>
      <c r="C67" s="4" t="inlineStr">
        <is>
          <t>Não vendido</t>
        </is>
      </c>
      <c r="D67" s="4" t="inlineStr">
        <is>
          <t>1</t>
        </is>
      </c>
      <c r="E67" s="5" t="inlineStr">
        <is>
          <t>1.500,00</t>
        </is>
      </c>
      <c r="F67" s="4" t="inlineStr">
        <is>
          <t>150.00</t>
        </is>
      </c>
    </row>
    <row collapsed="false" customFormat="false" customHeight="false" hidden="false" ht="12.1" outlineLevel="0" r="68">
      <c r="A68" s="5" t="s">
        <f>=HYPERLINK("https://leilaoonline.net/lote/detalhe/37082", "3757")</f>
      </c>
      <c r="B68" s="4" t="s">
        <f>=HYPERLINK("https://leilaoonline.net/lote/detalhe/37082", " SUCATA DE MÓVEIS DIVERSOS, (veja descritivo), S/FR, UND BARRA")</f>
      </c>
      <c r="C68" s="4" t="inlineStr">
        <is>
          <t>Vendido</t>
        </is>
      </c>
      <c r="D68" s="4" t="inlineStr">
        <is>
          <t>1</t>
        </is>
      </c>
      <c r="E68" s="5" t="inlineStr">
        <is>
          <t>50,00</t>
        </is>
      </c>
      <c r="F68" s="4" t="inlineStr">
        <is>
          <t>50.00</t>
        </is>
      </c>
    </row>
    <row collapsed="false" customFormat="false" customHeight="false" hidden="false" ht="12.1" outlineLevel="0" r="69">
      <c r="A69" s="5" t="s">
        <f>=HYPERLINK("https://leilaoonline.net/lote/detalhe/36902", "3759")</f>
      </c>
      <c r="B69" s="4" t="s">
        <f>=HYPERLINK("https://leilaoonline.net/lote/detalhe/36902", "CAMINHÃO M.BENZ/L 2325, ANO 1991, FR 72529, UND. BARRA")</f>
      </c>
      <c r="C69" s="4" t="inlineStr">
        <is>
          <t>Vendido</t>
        </is>
      </c>
      <c r="D69" s="4" t="inlineStr">
        <is>
          <t>48</t>
        </is>
      </c>
      <c r="E69" s="5" t="inlineStr">
        <is>
          <t>56.250,00</t>
        </is>
      </c>
      <c r="F69" s="4" t="inlineStr">
        <is>
          <t>250.00</t>
        </is>
      </c>
    </row>
    <row collapsed="false" customFormat="false" customHeight="false" hidden="false" ht="12.1" outlineLevel="0" r="70">
      <c r="A70" s="5" t="s">
        <f>=HYPERLINK("https://leilaoonline.net/lote/detalhe/37666", "3787")</f>
      </c>
      <c r="B70" s="4" t="s">
        <f>=HYPERLINK("https://leilaoonline.net/lote/detalhe/37666", " CAMINHÃO SCANIA/T113 E 6X4 360 CARROC. PRANCHA, ANO 1995/1996, FR 96449/98723, UND. BARRA ")</f>
      </c>
      <c r="C70" s="4" t="inlineStr">
        <is>
          <t>Vendido</t>
        </is>
      </c>
      <c r="D70" s="4" t="inlineStr">
        <is>
          <t>79</t>
        </is>
      </c>
      <c r="E70" s="5" t="inlineStr">
        <is>
          <t>68.000,00</t>
        </is>
      </c>
      <c r="F70" s="4" t="inlineStr">
        <is>
          <t>500.00</t>
        </is>
      </c>
    </row>
    <row collapsed="false" customFormat="false" customHeight="false" hidden="false" ht="12.1" outlineLevel="0" r="71">
      <c r="A71" s="5" t="s">
        <f>=HYPERLINK("https://leilaoonline.net/lote/detalhe/37842", "3788")</f>
      </c>
      <c r="B71" s="4" t="s">
        <f>=HYPERLINK("https://leilaoonline.net/lote/detalhe/37842", "veja descrição - 25100 itens diversos = 150 jogos diversos - 940 mts diversos e 14 kg diversos, S/FR, UND TARUMÃ")</f>
      </c>
      <c r="C71" s="4" t="inlineStr">
        <is>
          <t>Não vendido</t>
        </is>
      </c>
      <c r="D71" s="4" t="inlineStr">
        <is>
          <t>1</t>
        </is>
      </c>
      <c r="E71" s="5" t="inlineStr">
        <is>
          <t>2.500,00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=HYPERLINK("https://leilaoonline.net/lote/detalhe/37843", "3789")</f>
      </c>
      <c r="B72" s="4" t="s">
        <f>=HYPERLINK("https://leilaoonline.net/lote/detalhe/37843", "veja descritivo - 61000 ITENS DIVERSOS - 500 MTS ITENS DIVERSOS - 190 KG ITENS DIVERSOS - S/FR, UND MACARAÍ")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10.500,00</t>
        </is>
      </c>
      <c r="F72" s="4" t="inlineStr">
        <is>
          <t>500.00</t>
        </is>
      </c>
    </row>
    <row collapsed="false" customFormat="false" customHeight="false" hidden="false" ht="12.1" outlineLevel="0" r="73">
      <c r="A73" s="5" t="s">
        <f>=HYPERLINK("https://leilaoonline.net/lote/detalhe/37085", "3790")</f>
      </c>
      <c r="B73" s="4" t="s">
        <f>=HYPERLINK("https://leilaoonline.net/lote/detalhe/37085", "ENLEIRADEIRA, FR 103431, UND BARRA ")</f>
      </c>
      <c r="C73" s="4" t="inlineStr">
        <is>
          <t>Não vendido</t>
        </is>
      </c>
      <c r="D73" s="4" t="inlineStr">
        <is>
          <t>11</t>
        </is>
      </c>
      <c r="E73" s="5" t="inlineStr">
        <is>
          <t>1.200,00</t>
        </is>
      </c>
      <c r="F73" s="4" t="inlineStr">
        <is>
          <t>100.00</t>
        </is>
      </c>
    </row>
    <row collapsed="false" customFormat="false" customHeight="false" hidden="false" ht="12.1" outlineLevel="0" r="74">
      <c r="A74" s="5" t="s">
        <f>=HYPERLINK("https://leilaoonline.net/lote/detalhe/36900", "3795")</f>
      </c>
      <c r="B74" s="4" t="s">
        <f>=HYPERLINK("https://leilaoonline.net/lote/detalhe/36900", "ESTUFA DE ARMAZENAMENTO P/ ALIMENTOS QUENTES, S/FR, UND. BARRA 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250,00</t>
        </is>
      </c>
      <c r="F74" s="4" t="inlineStr">
        <is>
          <t>150.00</t>
        </is>
      </c>
    </row>
    <row collapsed="false" customFormat="false" customHeight="false" hidden="false" ht="12.1" outlineLevel="0" r="75">
      <c r="A75" s="5" t="s">
        <f>=HYPERLINK("https://leilaoonline.net/lote/detalhe/36901", "3796")</f>
      </c>
      <c r="B75" s="4" t="s">
        <f>=HYPERLINK("https://leilaoonline.net/lote/detalhe/36901", "7 FRIGOBAR CONSUL, 2 ELETROLUX, 1 FREEZER CONSUL,PATRIM. 200617, 200621 S/FR, UND BARRA ")</f>
      </c>
      <c r="C75" s="4" t="inlineStr">
        <is>
          <t>Vendido</t>
        </is>
      </c>
      <c r="D75" s="4" t="inlineStr">
        <is>
          <t>8</t>
        </is>
      </c>
      <c r="E75" s="5" t="inlineStr">
        <is>
          <t>1.600,00</t>
        </is>
      </c>
      <c r="F75" s="4" t="inlineStr">
        <is>
          <t>150.00</t>
        </is>
      </c>
    </row>
    <row collapsed="false" customFormat="false" customHeight="false" hidden="false" ht="12.1" outlineLevel="0" r="76">
      <c r="A76" s="5" t="s">
        <f>=HYPERLINK("https://leilaoonline.net/lote/detalhe/37018", "3797")</f>
      </c>
      <c r="B76" s="4" t="s">
        <f>=HYPERLINK("https://leilaoonline.net/lote/detalhe/37018", "APROX. 70 RODAS 20.0 X 26,5 , S/FR, UND. BARRA ")</f>
      </c>
      <c r="C76" s="4" t="inlineStr">
        <is>
          <t>Não vendido</t>
        </is>
      </c>
      <c r="D76" s="4" t="inlineStr">
        <is>
          <t>21</t>
        </is>
      </c>
      <c r="E76" s="5" t="inlineStr">
        <is>
          <t>2.100,00</t>
        </is>
      </c>
      <c r="F76" s="4" t="inlineStr">
        <is>
          <t>150.00</t>
        </is>
      </c>
    </row>
    <row collapsed="false" customFormat="false" customHeight="false" hidden="false" ht="12.1" outlineLevel="0" r="77">
      <c r="A77" s="5" t="s">
        <f>=HYPERLINK("https://leilaoonline.net/lote/detalhe/37019", "3798")</f>
      </c>
      <c r="B77" s="4" t="s">
        <f>=HYPERLINK("https://leilaoonline.net/lote/detalhe/37019", "PROLONGADORES DIVERSOS CONTRAPESOS E DISCOS DE RODAS, S/FR, UND. BARRA ")</f>
      </c>
      <c r="C77" s="4" t="inlineStr">
        <is>
          <t>Não vendido</t>
        </is>
      </c>
      <c r="D77" s="4" t="inlineStr">
        <is>
          <t>86</t>
        </is>
      </c>
      <c r="E77" s="5" t="inlineStr">
        <is>
          <t>8.750,00</t>
        </is>
      </c>
      <c r="F77" s="4" t="inlineStr">
        <is>
          <t>150.00</t>
        </is>
      </c>
    </row>
    <row collapsed="false" customFormat="false" customHeight="false" hidden="false" ht="12.1" outlineLevel="0" r="78">
      <c r="A78" s="5" t="s">
        <f>=HYPERLINK("https://leilaoonline.net/lote/detalhe/37636", "3800")</f>
      </c>
      <c r="B78" s="4" t="s">
        <f>=HYPERLINK("https://leilaoonline.net/lote/detalhe/37636", "1 MOTO BOMBA E 1 BOMBA, PAT. 070429/099027/074692, UND BARRA")</f>
      </c>
      <c r="C78" s="4" t="inlineStr">
        <is>
          <t>Vendido</t>
        </is>
      </c>
      <c r="D78" s="4" t="inlineStr">
        <is>
          <t>12</t>
        </is>
      </c>
      <c r="E78" s="5" t="inlineStr">
        <is>
          <t>2.000,00</t>
        </is>
      </c>
      <c r="F78" s="4" t="inlineStr">
        <is>
          <t>150.00</t>
        </is>
      </c>
    </row>
    <row collapsed="false" customFormat="false" customHeight="false" hidden="false" ht="12.1" outlineLevel="0" r="79">
      <c r="A79" s="5" t="s">
        <f>=HYPERLINK("https://leilaoonline.net/lote/detalhe/37637", "3801")</f>
      </c>
      <c r="B79" s="4" t="s">
        <f>=HYPERLINK("https://leilaoonline.net/lote/detalhe/37637", "TRATOR M. FERGUSSON 292, ANO 2008,  FR102600, UND BARRA")</f>
      </c>
      <c r="C79" s="4" t="inlineStr">
        <is>
          <t>Não vendido</t>
        </is>
      </c>
      <c r="D79" s="4" t="inlineStr">
        <is>
          <t>82</t>
        </is>
      </c>
      <c r="E79" s="5" t="inlineStr">
        <is>
          <t>55.500,00</t>
        </is>
      </c>
      <c r="F79" s="4" t="inlineStr">
        <is>
          <t>500.00</t>
        </is>
      </c>
    </row>
    <row collapsed="false" customFormat="false" customHeight="false" hidden="false" ht="12.1" outlineLevel="0" r="80">
      <c r="A80" s="5" t="s">
        <f>=HYPERLINK("https://leilaoonline.net/lote/detalhe/37023", "4729")</f>
      </c>
      <c r="B80" s="4" t="s">
        <f>=HYPERLINK("https://leilaoonline.net/lote/detalhe/37023", "CARRETINHA DE SERVIÇOS DIVERSOS, S/FR , UND. PARAÍSO ")</f>
      </c>
      <c r="C80" s="4" t="inlineStr">
        <is>
          <t>Vendido</t>
        </is>
      </c>
      <c r="D80" s="4" t="inlineStr">
        <is>
          <t>3</t>
        </is>
      </c>
      <c r="E80" s="5" t="inlineStr">
        <is>
          <t>250,00</t>
        </is>
      </c>
      <c r="F80" s="4" t="inlineStr">
        <is>
          <t>50.00</t>
        </is>
      </c>
    </row>
    <row collapsed="false" customFormat="false" customHeight="false" hidden="false" ht="12.1" outlineLevel="0" r="81">
      <c r="A81" s="5" t="s">
        <f>=HYPERLINK("https://leilaoonline.net/lote/detalhe/37084", "4829")</f>
      </c>
      <c r="B81" s="4" t="s">
        <f>=HYPERLINK("https://leilaoonline.net/lote/detalhe/37084", "SUCATA DE MATERIAL ELÉTRICO/ELETRÔNICO, S/FR, UND PARAÍSO")</f>
      </c>
      <c r="C81" s="4" t="inlineStr">
        <is>
          <t>Não vendido</t>
        </is>
      </c>
      <c r="D81" s="4" t="inlineStr">
        <is>
          <t>1</t>
        </is>
      </c>
      <c r="E81" s="5" t="inlineStr">
        <is>
          <t>50,00</t>
        </is>
      </c>
      <c r="F81" s="4" t="inlineStr">
        <is>
          <t>50.00</t>
        </is>
      </c>
    </row>
    <row collapsed="false" customFormat="false" customHeight="false" hidden="false" ht="12.1" outlineLevel="0" r="82">
      <c r="A82" s="5" t="s">
        <f>=HYPERLINK("https://leilaoonline.net/lote/detalhe/37740", "4831")</f>
      </c>
      <c r="B82" s="4" t="s">
        <f>=HYPERLINK("https://leilaoonline.net/lote/detalhe/37740", " AMBULÂNCIA VW SAVEIRO 1.6, ANO 2006, FR19808, UND PARAÍSO (transferência apenas para são paulo)")</f>
      </c>
      <c r="C82" s="4" t="inlineStr">
        <is>
          <t>Não vendido</t>
        </is>
      </c>
      <c r="D82" s="4" t="inlineStr">
        <is>
          <t>8</t>
        </is>
      </c>
      <c r="E82" s="5" t="inlineStr">
        <is>
          <t>8.250,00</t>
        </is>
      </c>
      <c r="F82" s="4" t="inlineStr">
        <is>
          <t>150.00</t>
        </is>
      </c>
    </row>
    <row collapsed="false" customFormat="false" customHeight="false" hidden="false" ht="12.1" outlineLevel="0" r="83">
      <c r="A83" s="5" t="s">
        <f>=HYPERLINK("https://leilaoonline.net/lote/detalhe/37090", "4834")</f>
      </c>
      <c r="B83" s="4" t="s">
        <f>=HYPERLINK("https://leilaoonline.net/lote/detalhe/37090", " ENLEIRADEIRA , FR1404, UND PARAISO ")</f>
      </c>
      <c r="C83" s="4" t="inlineStr">
        <is>
          <t>Não vendido</t>
        </is>
      </c>
      <c r="D83" s="4" t="inlineStr">
        <is>
          <t>17</t>
        </is>
      </c>
      <c r="E83" s="5" t="inlineStr">
        <is>
          <t>1.000,00</t>
        </is>
      </c>
      <c r="F83" s="4" t="inlineStr">
        <is>
          <t>50.00</t>
        </is>
      </c>
    </row>
    <row collapsed="false" customFormat="false" customHeight="false" hidden="false" ht="12.1" outlineLevel="0" r="84">
      <c r="A84" s="5" t="s">
        <f>=HYPERLINK("https://leilaoonline.net/lote/detalhe/37747", "4843")</f>
      </c>
      <c r="B84" s="4" t="s">
        <f>=HYPERLINK("https://leilaoonline.net/lote/detalhe/37747", " TRATOR SUCATEADO VALTRA BM 100, FR19838, UND PARAISO")</f>
      </c>
      <c r="C84" s="4" t="inlineStr">
        <is>
          <t>Vendido</t>
        </is>
      </c>
      <c r="D84" s="4" t="inlineStr">
        <is>
          <t>56</t>
        </is>
      </c>
      <c r="E84" s="5" t="inlineStr">
        <is>
          <t>32.250,00</t>
        </is>
      </c>
      <c r="F84" s="4" t="inlineStr">
        <is>
          <t>250.00</t>
        </is>
      </c>
    </row>
    <row collapsed="false" customFormat="false" customHeight="false" hidden="false" ht="12.1" outlineLevel="0" r="85">
      <c r="A85" s="5" t="s">
        <f>=HYPERLINK("https://leilaoonline.net/lote/detalhe/37091", "4845")</f>
      </c>
      <c r="B85" s="4" t="s">
        <f>=HYPERLINK("https://leilaoonline.net/lote/detalhe/37091", " TURBINA E REDUTOR MR. NE, S/FR, UND PARAISO ")</f>
      </c>
      <c r="C85" s="4" t="inlineStr">
        <is>
          <t>Não vendido</t>
        </is>
      </c>
      <c r="D85" s="4" t="inlineStr">
        <is>
          <t>11</t>
        </is>
      </c>
      <c r="E85" s="5" t="inlineStr">
        <is>
          <t>2.750,00</t>
        </is>
      </c>
      <c r="F85" s="4" t="inlineStr">
        <is>
          <t>150.00</t>
        </is>
      </c>
    </row>
    <row collapsed="false" customFormat="false" customHeight="false" hidden="false" ht="12.1" outlineLevel="0" r="86">
      <c r="A86" s="5" t="s">
        <f>=HYPERLINK("https://leilaoonline.net/lote/detalhe/37092", "4846")</f>
      </c>
      <c r="B86" s="4" t="s">
        <f>=HYPERLINK("https://leilaoonline.net/lote/detalhe/37092", " TURBINA N6, E REDUTOR CESTONI, S/FR, UND PARAISO")</f>
      </c>
      <c r="C86" s="4" t="inlineStr">
        <is>
          <t>Não vendido</t>
        </is>
      </c>
      <c r="D86" s="4" t="inlineStr">
        <is>
          <t>9</t>
        </is>
      </c>
      <c r="E86" s="5" t="inlineStr">
        <is>
          <t>2.450,00</t>
        </is>
      </c>
      <c r="F86" s="4" t="inlineStr">
        <is>
          <t>150.00</t>
        </is>
      </c>
    </row>
    <row collapsed="false" customFormat="false" customHeight="false" hidden="false" ht="12.1" outlineLevel="0" r="87">
      <c r="A87" s="5" t="s">
        <f>=HYPERLINK("https://leilaoonline.net/lote/detalhe/37087", "4855")</f>
      </c>
      <c r="B87" s="4" t="s">
        <f>=HYPERLINK("https://leilaoonline.net/lote/detalhe/37087", " FIAT UNO WAY 1.0, ANO 2015/2016, FR 19602, (TRANSFERÊNCIA APENAS P/ SÃO PAULO), UND  PARAÍSO ")</f>
      </c>
      <c r="C87" s="4" t="inlineStr">
        <is>
          <t>Não vendido</t>
        </is>
      </c>
      <c r="D87" s="4" t="inlineStr">
        <is>
          <t>18</t>
        </is>
      </c>
      <c r="E87" s="5" t="inlineStr">
        <is>
          <t>8.300,00</t>
        </is>
      </c>
      <c r="F87" s="4" t="inlineStr">
        <is>
          <t>150.00</t>
        </is>
      </c>
    </row>
    <row collapsed="false" customFormat="false" customHeight="false" hidden="false" ht="12.1" outlineLevel="0" r="88">
      <c r="A88" s="5" t="s">
        <f>=HYPERLINK("https://leilaoonline.net/lote/detalhe/37088", "4861")</f>
      </c>
      <c r="B88" s="4" t="s">
        <f>=HYPERLINK("https://leilaoonline.net/lote/detalhe/37088", " TRANSBORDO ATA 10500, FR19859, UND PARAISO ")</f>
      </c>
      <c r="C88" s="4" t="inlineStr">
        <is>
          <t>Não vendido</t>
        </is>
      </c>
      <c r="D88" s="4" t="inlineStr">
        <is>
          <t>0</t>
        </is>
      </c>
      <c r="E88" s="5" t="inlineStr">
        <is>
          <t>5.750,00</t>
        </is>
      </c>
      <c r="F88" s="4" t="inlineStr">
        <is>
          <t>150.00</t>
        </is>
      </c>
    </row>
    <row collapsed="false" customFormat="false" customHeight="false" hidden="false" ht="12.1" outlineLevel="0" r="89">
      <c r="A89" s="5" t="s">
        <f>=HYPERLINK("https://leilaoonline.net/lote/detalhe/37086", "4862")</f>
      </c>
      <c r="B89" s="4" t="s">
        <f>=HYPERLINK("https://leilaoonline.net/lote/detalhe/37086", " TRANSBORDO ATA 10500, FR19858, UND PARAISO 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5.750,00</t>
        </is>
      </c>
      <c r="F89" s="4" t="inlineStr">
        <is>
          <t>150.00</t>
        </is>
      </c>
    </row>
    <row collapsed="false" customFormat="false" customHeight="false" hidden="false" ht="12.1" outlineLevel="0" r="90">
      <c r="A90" s="5" t="s">
        <f>=HYPERLINK("https://leilaoonline.net/lote/detalhe/37089", "4863")</f>
      </c>
      <c r="B90" s="4" t="s">
        <f>=HYPERLINK("https://leilaoonline.net/lote/detalhe/37089", " TRANSBORDO ATA 10500, FR20207, UND PARAISO ")</f>
      </c>
      <c r="C90" s="4" t="inlineStr">
        <is>
          <t>Não vendido</t>
        </is>
      </c>
      <c r="D90" s="4" t="inlineStr">
        <is>
          <t>0</t>
        </is>
      </c>
      <c r="E90" s="5" t="inlineStr">
        <is>
          <t>5.750,00</t>
        </is>
      </c>
      <c r="F90" s="4" t="inlineStr">
        <is>
          <t>150.00</t>
        </is>
      </c>
    </row>
    <row collapsed="false" customFormat="false" customHeight="false" hidden="false" ht="12.1" outlineLevel="0" r="91">
      <c r="A91" s="5" t="s">
        <f>=HYPERLINK("https://leilaoonline.net/lote/detalhe/37098", "4867")</f>
      </c>
      <c r="B91" s="4" t="s">
        <f>=HYPERLINK("https://leilaoonline.net/lote/detalhe/37098", " REBOQUE RANDOM RQ CA, RECUPERADO CSV, ANO 2005, FR087, UND PARAISO ")</f>
      </c>
      <c r="C91" s="4" t="inlineStr">
        <is>
          <t>Não vendido</t>
        </is>
      </c>
      <c r="D91" s="4" t="inlineStr">
        <is>
          <t>3</t>
        </is>
      </c>
      <c r="E91" s="5" t="inlineStr">
        <is>
          <t>7.750,00</t>
        </is>
      </c>
      <c r="F91" s="4" t="inlineStr">
        <is>
          <t>250.00</t>
        </is>
      </c>
    </row>
    <row collapsed="false" customFormat="false" customHeight="false" hidden="false" ht="12.1" outlineLevel="0" r="92">
      <c r="A92" s="5" t="s">
        <f>=HYPERLINK("https://leilaoonline.net/lote/detalhe/37093", "4870")</f>
      </c>
      <c r="B92" s="4" t="s">
        <f>=HYPERLINK("https://leilaoonline.net/lote/detalhe/37093", " TRANSBORDO ATA 10500, FR19861, UND PARAISO ")</f>
      </c>
      <c r="C92" s="4" t="inlineStr">
        <is>
          <t>Vendido</t>
        </is>
      </c>
      <c r="D92" s="4" t="inlineStr">
        <is>
          <t>1</t>
        </is>
      </c>
      <c r="E92" s="5" t="inlineStr">
        <is>
          <t>5.750,00</t>
        </is>
      </c>
      <c r="F92" s="4" t="inlineStr">
        <is>
          <t>150.00</t>
        </is>
      </c>
    </row>
    <row collapsed="false" customFormat="false" customHeight="false" hidden="false" ht="12.1" outlineLevel="0" r="93">
      <c r="A93" s="5" t="s">
        <f>=HYPERLINK("https://leilaoonline.net/lote/detalhe/37024", "4871")</f>
      </c>
      <c r="B93" s="4" t="s">
        <f>=HYPERLINK("https://leilaoonline.net/lote/detalhe/37024", "CARROCERIA CANA INTEIRA, S/FR, UND. PARAISO ")</f>
      </c>
      <c r="C93" s="4" t="inlineStr">
        <is>
          <t>Não vendido</t>
        </is>
      </c>
      <c r="D93" s="4" t="inlineStr">
        <is>
          <t>10</t>
        </is>
      </c>
      <c r="E93" s="5" t="inlineStr">
        <is>
          <t>1.700,00</t>
        </is>
      </c>
      <c r="F93" s="4" t="inlineStr">
        <is>
          <t>150.00</t>
        </is>
      </c>
    </row>
    <row collapsed="false" customFormat="false" customHeight="false" hidden="false" ht="12.1" outlineLevel="0" r="94">
      <c r="A94" s="5" t="s">
        <f>=HYPERLINK("https://leilaoonline.net/lote/detalhe/37097", "5749")</f>
      </c>
      <c r="B94" s="4" t="s">
        <f>=HYPERLINK("https://leilaoonline.net/lote/detalhe/37097", " TRANSBORDO, S/FR 101959, UND SANTA CANDIDA 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5.750,00</t>
        </is>
      </c>
      <c r="F94" s="4" t="inlineStr">
        <is>
          <t>150.00</t>
        </is>
      </c>
    </row>
    <row collapsed="false" customFormat="false" customHeight="false" hidden="false" ht="12.1" outlineLevel="0" r="95">
      <c r="A95" s="5" t="s">
        <f>=HYPERLINK("https://leilaoonline.net/lote/detalhe/37095", "5750")</f>
      </c>
      <c r="B95" s="4" t="s">
        <f>=HYPERLINK("https://leilaoonline.net/lote/detalhe/37095", " TRANSBORDO COR AZUL SERMAG, FR101979,  UND SANTA CANDIDA ")</f>
      </c>
      <c r="C95" s="4" t="inlineStr">
        <is>
          <t>Não vendido</t>
        </is>
      </c>
      <c r="D95" s="4" t="inlineStr">
        <is>
          <t>0</t>
        </is>
      </c>
      <c r="E95" s="5" t="inlineStr">
        <is>
          <t>5.750,00</t>
        </is>
      </c>
      <c r="F95" s="4" t="inlineStr">
        <is>
          <t>150.00</t>
        </is>
      </c>
    </row>
    <row collapsed="false" customFormat="false" customHeight="false" hidden="false" ht="12.1" outlineLevel="0" r="96">
      <c r="A96" s="5" t="s">
        <f>=HYPERLINK("https://leilaoonline.net/lote/detalhe/38030", "5751")</f>
      </c>
      <c r="B96" s="4" t="s">
        <f>=HYPERLINK("https://leilaoonline.net/lote/detalhe/38030", "veja descritivo - quantidade aproximada 19 ITENS DIVERSOS, S/FR, UND PARAÍSO")</f>
      </c>
      <c r="C96" s="4" t="inlineStr">
        <is>
          <t>Não vendido</t>
        </is>
      </c>
      <c r="D96" s="4" t="inlineStr">
        <is>
          <t>1</t>
        </is>
      </c>
      <c r="E96" s="5" t="inlineStr">
        <is>
          <t>200,00</t>
        </is>
      </c>
      <c r="F96" s="4" t="inlineStr">
        <is>
          <t>50.00</t>
        </is>
      </c>
    </row>
    <row collapsed="false" customFormat="false" customHeight="false" hidden="false" ht="12.1" outlineLevel="0" r="97">
      <c r="A97" s="5" t="s">
        <f>=HYPERLINK("https://leilaoonline.net/lote/detalhe/38031", "5752")</f>
      </c>
      <c r="B97" s="4" t="s">
        <f>=HYPERLINK("https://leilaoonline.net/lote/detalhe/38031", "veja descritivo - quantidade aproximada 84 PEÇAS ITENS DIVERSOS, S/FR, UND DIAMANTE")</f>
      </c>
      <c r="C97" s="4" t="inlineStr">
        <is>
          <t>Não vendido</t>
        </is>
      </c>
      <c r="D97" s="4" t="inlineStr">
        <is>
          <t>3</t>
        </is>
      </c>
      <c r="E97" s="5" t="inlineStr">
        <is>
          <t>500,00</t>
        </is>
      </c>
      <c r="F97" s="4" t="inlineStr">
        <is>
          <t>100.00</t>
        </is>
      </c>
    </row>
    <row collapsed="false" customFormat="false" customHeight="false" hidden="false" ht="12.1" outlineLevel="0" r="98">
      <c r="A98" s="5" t="s">
        <f>=HYPERLINK("https://leilaoonline.net/lote/detalhe/38032", "5753")</f>
      </c>
      <c r="B98" s="4" t="s">
        <f>=HYPERLINK("https://leilaoonline.net/lote/detalhe/38032", "veja descritivo quantidade aproximada 10.000  PEÇAS DIVERSAS, S/FR, UND DOIS CÓRREGOS")</f>
      </c>
      <c r="C98" s="4" t="inlineStr">
        <is>
          <t>Não vendido</t>
        </is>
      </c>
      <c r="D98" s="4" t="inlineStr">
        <is>
          <t>2</t>
        </is>
      </c>
      <c r="E98" s="5" t="inlineStr">
        <is>
          <t>1.400,00</t>
        </is>
      </c>
      <c r="F98" s="4" t="inlineStr">
        <is>
          <t>150.00</t>
        </is>
      </c>
    </row>
    <row collapsed="false" customFormat="false" customHeight="false" hidden="false" ht="12.1" outlineLevel="0" r="99">
      <c r="A99" s="5" t="s">
        <f>=HYPERLINK("https://leilaoonline.net/lote/detalhe/37096", "5801")</f>
      </c>
      <c r="B99" s="4" t="s">
        <f>=HYPERLINK("https://leilaoonline.net/lote/detalhe/37096", " SUCATA DE AUTOMÓVEL VW GOL, S/DOCUMENTO, FR19622, UND SANTA CANDIDA")</f>
      </c>
      <c r="C99" s="4" t="inlineStr">
        <is>
          <t>Vendido</t>
        </is>
      </c>
      <c r="D99" s="4" t="inlineStr">
        <is>
          <t>2</t>
        </is>
      </c>
      <c r="E99" s="5" t="inlineStr">
        <is>
          <t>800,00</t>
        </is>
      </c>
      <c r="F99" s="4" t="inlineStr">
        <is>
          <t>50.00</t>
        </is>
      </c>
    </row>
    <row collapsed="false" customFormat="false" customHeight="false" hidden="false" ht="12.1" outlineLevel="0" r="100">
      <c r="A100" s="5" t="s">
        <f>=HYPERLINK("https://leilaoonline.net/lote/detalhe/37094", "5802")</f>
      </c>
      <c r="B100" s="4" t="s">
        <f>=HYPERLINK("https://leilaoonline.net/lote/detalhe/37094", " FIAT/UNO WAY 1.0, ANO 2015/2016, FR19566, UND SANTA CANDIDA (Transferência apenas para São Paulo)")</f>
      </c>
      <c r="C100" s="4" t="inlineStr">
        <is>
          <t>Não vendido</t>
        </is>
      </c>
      <c r="D100" s="4" t="inlineStr">
        <is>
          <t>14</t>
        </is>
      </c>
      <c r="E100" s="5" t="inlineStr">
        <is>
          <t>9.000,00</t>
        </is>
      </c>
      <c r="F100" s="4" t="inlineStr">
        <is>
          <t>250.00</t>
        </is>
      </c>
    </row>
    <row collapsed="false" customFormat="false" customHeight="false" hidden="false" ht="12.1" outlineLevel="0" r="101">
      <c r="A101" s="5" t="s">
        <f>=HYPERLINK("https://leilaoonline.net/lote/detalhe/37100", "5805")</f>
      </c>
      <c r="B101" s="4" t="s">
        <f>=HYPERLINK("https://leilaoonline.net/lote/detalhe/37100", " TRANSBORDO SANTAL VT10T, FR19785, UND SANTA CANDIDA ")</f>
      </c>
      <c r="C101" s="4" t="inlineStr">
        <is>
          <t>Vendido</t>
        </is>
      </c>
      <c r="D101" s="4" t="inlineStr">
        <is>
          <t>1</t>
        </is>
      </c>
      <c r="E101" s="5" t="inlineStr">
        <is>
          <t>5.750,00</t>
        </is>
      </c>
      <c r="F101" s="4" t="inlineStr">
        <is>
          <t>250.00</t>
        </is>
      </c>
    </row>
    <row collapsed="false" customFormat="false" customHeight="false" hidden="false" ht="12.1" outlineLevel="0" r="102">
      <c r="A102" s="5" t="s">
        <f>=HYPERLINK("https://leilaoonline.net/lote/detalhe/37099", "5806")</f>
      </c>
      <c r="B102" s="4" t="s">
        <f>=HYPERLINK("https://leilaoonline.net/lote/detalhe/37099", " TRANSBORDO SANTAL VT10T, FR19787, UND SANTA CANDIDA ")</f>
      </c>
      <c r="C102" s="4" t="inlineStr">
        <is>
          <t>Não vendido</t>
        </is>
      </c>
      <c r="D102" s="4" t="inlineStr">
        <is>
          <t>0</t>
        </is>
      </c>
      <c r="E102" s="5" t="inlineStr">
        <is>
          <t>5.750,00</t>
        </is>
      </c>
      <c r="F102" s="4" t="inlineStr">
        <is>
          <t>250.00</t>
        </is>
      </c>
    </row>
    <row collapsed="false" customFormat="false" customHeight="false" hidden="false" ht="12.1" outlineLevel="0" r="103">
      <c r="A103" s="5" t="s">
        <f>=HYPERLINK("https://leilaoonline.net/lote/detalhe/36853", "5807")</f>
      </c>
      <c r="B103" s="4" t="s">
        <f>=HYPERLINK("https://leilaoonline.net/lote/detalhe/36853", "CAMINHÃO VW/31.370 CNM 6X4, ANO 2011, FR19087- UND SANTA CANDIDA ")</f>
      </c>
      <c r="C103" s="4" t="inlineStr">
        <is>
          <t>Vendido</t>
        </is>
      </c>
      <c r="D103" s="4" t="inlineStr">
        <is>
          <t>46</t>
        </is>
      </c>
      <c r="E103" s="5" t="inlineStr">
        <is>
          <t>34.750,00</t>
        </is>
      </c>
      <c r="F103" s="4" t="inlineStr">
        <is>
          <t>250.00</t>
        </is>
      </c>
    </row>
    <row collapsed="false" customFormat="false" customHeight="false" hidden="false" ht="12.1" outlineLevel="0" r="104">
      <c r="A104" s="5" t="s">
        <f>=HYPERLINK("https://leilaoonline.net/lote/detalhe/36899", "5808")</f>
      </c>
      <c r="B104" s="4" t="s">
        <f>=HYPERLINK("https://leilaoonline.net/lote/detalhe/36899", "REBOQUE RANDON SP RQ CA, ANO 2010, FR96763, UND SANTA CANDIDA ")</f>
      </c>
      <c r="C104" s="4" t="inlineStr">
        <is>
          <t>Não vendido</t>
        </is>
      </c>
      <c r="D104" s="4" t="inlineStr">
        <is>
          <t>23</t>
        </is>
      </c>
      <c r="E104" s="5" t="inlineStr">
        <is>
          <t>15.250,00</t>
        </is>
      </c>
      <c r="F104" s="4" t="inlineStr">
        <is>
          <t>250.00</t>
        </is>
      </c>
    </row>
    <row collapsed="false" customFormat="false" customHeight="false" hidden="false" ht="12.1" outlineLevel="0" r="105">
      <c r="A105" s="5" t="s">
        <f>=HYPERLINK("https://leilaoonline.net/lote/detalhe/37638", "5809")</f>
      </c>
      <c r="B105" s="4" t="s">
        <f>=HYPERLINK("https://leilaoonline.net/lote/detalhe/37638", "COFRE, S/FR, UND S, CANDIDA")</f>
      </c>
      <c r="C105" s="4" t="inlineStr">
        <is>
          <t>Não vendido</t>
        </is>
      </c>
      <c r="D105" s="4" t="inlineStr">
        <is>
          <t>2</t>
        </is>
      </c>
      <c r="E105" s="5" t="inlineStr">
        <is>
          <t>150,00</t>
        </is>
      </c>
      <c r="F105" s="4" t="inlineStr">
        <is>
          <t>50.00</t>
        </is>
      </c>
    </row>
    <row collapsed="false" customFormat="false" customHeight="false" hidden="false" ht="12.1" outlineLevel="0" r="106">
      <c r="A106" s="5" t="s">
        <f>=HYPERLINK("https://leilaoonline.net/lote/detalhe/38499", "8020")</f>
      </c>
      <c r="B106" s="4" t="s">
        <f>=HYPERLINK("https://leilaoonline.net/lote/detalhe/38499", "  2 TRANSFORMADORES 2000KVA, MOD.MARANGONI, SERIE 30040,30039,SERÁ VENDIDO SEM ÓLEO - LOC.Terminal de são Paulo - Base Ipiranga")</f>
      </c>
      <c r="C106" s="4" t="inlineStr">
        <is>
          <t>Vendido</t>
        </is>
      </c>
      <c r="D106" s="4" t="inlineStr">
        <is>
          <t>55</t>
        </is>
      </c>
      <c r="E106" s="5" t="inlineStr">
        <is>
          <t>32.750,00</t>
        </is>
      </c>
      <c r="F106" s="4" t="inlineStr">
        <is>
          <t>250.00</t>
        </is>
      </c>
    </row>
    <row collapsed="false" customFormat="false" customHeight="false" hidden="false" ht="12.1" outlineLevel="0" r="107">
      <c r="A107" s="5" t="s">
        <f>=HYPERLINK("https://leilaoonline.net/lote/detalhe/38029", "15430")</f>
      </c>
      <c r="B107" s="4" t="s">
        <f>=HYPERLINK("https://leilaoonline.net/lote/detalhe/38029", " CAMINHAO SCANIA R113 6X4 360, ANO 1995, FR119793, UND BONFIM ")</f>
      </c>
      <c r="C107" s="4" t="inlineStr">
        <is>
          <t>Não vendido</t>
        </is>
      </c>
      <c r="D107" s="4" t="inlineStr">
        <is>
          <t>46</t>
        </is>
      </c>
      <c r="E107" s="5" t="inlineStr">
        <is>
          <t>35.000,00</t>
        </is>
      </c>
      <c r="F107" s="4" t="inlineStr">
        <is>
          <t>250.00</t>
        </is>
      </c>
    </row>
    <row collapsed="false" customFormat="false" customHeight="false" hidden="false" ht="12.1" outlineLevel="0" r="108">
      <c r="A108" s="5" t="s">
        <f>=HYPERLINK("https://leilaoonline.net/lote/detalhe/37035", "17000")</f>
      </c>
      <c r="B108" s="4" t="s">
        <f>=HYPERLINK("https://leilaoonline.net/lote/detalhe/37035", "TRATOR VALTRA BH 210I, ANO 2014, FR88147, UND GASA")</f>
      </c>
      <c r="C108" s="4" t="inlineStr">
        <is>
          <t>Não vendido</t>
        </is>
      </c>
      <c r="D108" s="4" t="inlineStr">
        <is>
          <t>60</t>
        </is>
      </c>
      <c r="E108" s="5" t="inlineStr">
        <is>
          <t>40.500,00</t>
        </is>
      </c>
      <c r="F108" s="4" t="inlineStr">
        <is>
          <t>250.00</t>
        </is>
      </c>
    </row>
    <row collapsed="false" customFormat="false" customHeight="false" hidden="false" ht="12.1" outlineLevel="0" r="109">
      <c r="A109" s="5" t="s">
        <f>=HYPERLINK("https://leilaoonline.net/lote/detalhe/37036", "17001")</f>
      </c>
      <c r="B109" s="4" t="s">
        <f>=HYPERLINK("https://leilaoonline.net/lote/detalhe/37036", "SUCATA DE TRANSBORDO, S/FR, UND GASA")</f>
      </c>
      <c r="C109" s="4" t="inlineStr">
        <is>
          <t>Não vendido</t>
        </is>
      </c>
      <c r="D109" s="4" t="inlineStr">
        <is>
          <t>2</t>
        </is>
      </c>
      <c r="E109" s="5" t="inlineStr">
        <is>
          <t>400,00</t>
        </is>
      </c>
      <c r="F109" s="4" t="inlineStr">
        <is>
          <t>100.00</t>
        </is>
      </c>
    </row>
    <row collapsed="false" customFormat="false" customHeight="false" hidden="false" ht="12.1" outlineLevel="0" r="110">
      <c r="A110" s="5" t="s">
        <f>=HYPERLINK("https://leilaoonline.net/lote/detalhe/37038", "17003")</f>
      </c>
      <c r="B110" s="4" t="s">
        <f>=HYPERLINK("https://leilaoonline.net/lote/detalhe/37038", "CARRETA DE SERVIÇO DIVERSOS, FR91830, UND BENALCCOL")</f>
      </c>
      <c r="C110" s="4" t="inlineStr">
        <is>
          <t>Vendido</t>
        </is>
      </c>
      <c r="D110" s="4" t="inlineStr">
        <is>
          <t>3</t>
        </is>
      </c>
      <c r="E110" s="5" t="inlineStr">
        <is>
          <t>800,00</t>
        </is>
      </c>
      <c r="F110" s="4" t="inlineStr">
        <is>
          <t>150.00</t>
        </is>
      </c>
    </row>
    <row collapsed="false" customFormat="false" customHeight="false" hidden="false" ht="12.1" outlineLevel="0" r="111">
      <c r="A111" s="5" t="s">
        <f>=HYPERLINK("https://leilaoonline.net/lote/detalhe/37039", "17004")</f>
      </c>
      <c r="B111" s="4" t="s">
        <f>=HYPERLINK("https://leilaoonline.net/lote/detalhe/37039", "VOLANDEIRA C/ EIXO, S/FR, UND BENALCOOL")</f>
      </c>
      <c r="C111" s="4" t="inlineStr">
        <is>
          <t>Não vendido</t>
        </is>
      </c>
      <c r="D111" s="4" t="inlineStr">
        <is>
          <t>6</t>
        </is>
      </c>
      <c r="E111" s="5" t="inlineStr">
        <is>
          <t>4.000,00</t>
        </is>
      </c>
      <c r="F111" s="4" t="inlineStr">
        <is>
          <t>150.00</t>
        </is>
      </c>
    </row>
    <row collapsed="false" customFormat="false" customHeight="false" hidden="false" ht="12.1" outlineLevel="0" r="112">
      <c r="A112" s="5" t="s">
        <f>=HYPERLINK("https://leilaoonline.net/lote/detalhe/37040", "17005")</f>
      </c>
      <c r="B112" s="4" t="s">
        <f>=HYPERLINK("https://leilaoonline.net/lote/detalhe/37040", " TRATOR SUCATA DE MOTOR/CÂMBIO/OUTROS E CABINE, S/FR, UND BENALCOOL")</f>
      </c>
      <c r="C112" s="4" t="inlineStr">
        <is>
          <t>Vendido</t>
        </is>
      </c>
      <c r="D112" s="4" t="inlineStr">
        <is>
          <t>26</t>
        </is>
      </c>
      <c r="E112" s="5" t="inlineStr">
        <is>
          <t>5.250,00</t>
        </is>
      </c>
      <c r="F112" s="4" t="inlineStr">
        <is>
          <t>150.00</t>
        </is>
      </c>
    </row>
    <row collapsed="false" customFormat="false" customHeight="false" hidden="false" ht="12.1" outlineLevel="0" r="113">
      <c r="A113" s="5" t="s">
        <f>=HYPERLINK("https://leilaoonline.net/lote/detalhe/37041", "17006")</f>
      </c>
      <c r="B113" s="4" t="s">
        <f>=HYPERLINK("https://leilaoonline.net/lote/detalhe/37041", "CAMINHÃO SCANIA/R113 E 6X4 360, ANO1995, FR173609, UND BENALCOOL")</f>
      </c>
      <c r="C113" s="4" t="inlineStr">
        <is>
          <t>Não vendido</t>
        </is>
      </c>
      <c r="D113" s="4" t="inlineStr">
        <is>
          <t>51</t>
        </is>
      </c>
      <c r="E113" s="5" t="inlineStr">
        <is>
          <t>36.500,00</t>
        </is>
      </c>
      <c r="F113" s="4" t="inlineStr">
        <is>
          <t>250.00</t>
        </is>
      </c>
    </row>
    <row collapsed="false" customFormat="false" customHeight="false" hidden="false" ht="12.1" outlineLevel="0" r="114">
      <c r="A114" s="5" t="s">
        <f>=HYPERLINK("https://leilaoonline.net/lote/detalhe/37043", "17008")</f>
      </c>
      <c r="B114" s="4" t="s">
        <f>=HYPERLINK("https://leilaoonline.net/lote/detalhe/37043", "SUCATA DE CARROCERIA, S/FR, UND BENALCCOL")</f>
      </c>
      <c r="C114" s="4" t="inlineStr">
        <is>
          <t>Vendido</t>
        </is>
      </c>
      <c r="D114" s="4" t="inlineStr">
        <is>
          <t>3</t>
        </is>
      </c>
      <c r="E114" s="5" t="inlineStr">
        <is>
          <t>300,00</t>
        </is>
      </c>
      <c r="F114" s="4" t="inlineStr">
        <is>
          <t>50.00</t>
        </is>
      </c>
    </row>
    <row collapsed="false" customFormat="false" customHeight="false" hidden="false" ht="12.1" outlineLevel="0" r="115">
      <c r="A115" s="5" t="s">
        <f>=HYPERLINK("https://leilaoonline.net/lote/detalhe/37042", "17009")</f>
      </c>
      <c r="B115" s="4" t="s">
        <f>=HYPERLINK("https://leilaoonline.net/lote/detalhe/37042", "CAMINHÃO VOLVO/FH 12 420 6X4, ANO2003, FR58635, UND BENALCOOL")</f>
      </c>
      <c r="C115" s="4" t="inlineStr">
        <is>
          <t>Não vendido</t>
        </is>
      </c>
      <c r="D115" s="4" t="inlineStr">
        <is>
          <t>45</t>
        </is>
      </c>
      <c r="E115" s="5" t="inlineStr">
        <is>
          <t>32.000,00</t>
        </is>
      </c>
      <c r="F115" s="4" t="inlineStr">
        <is>
          <t>250.00</t>
        </is>
      </c>
    </row>
    <row collapsed="false" customFormat="false" customHeight="false" hidden="false" ht="12.1" outlineLevel="0" r="116">
      <c r="A116" s="5" t="s">
        <f>=HYPERLINK("https://leilaoonline.net/lote/detalhe/37044", "17010")</f>
      </c>
      <c r="B116" s="4" t="s">
        <f>=HYPERLINK("https://leilaoonline.net/lote/detalhe/37044", "CARRETA (área vivencia), FR91830, UND DESTIVALE")</f>
      </c>
      <c r="C116" s="4" t="inlineStr">
        <is>
          <t>Vendido</t>
        </is>
      </c>
      <c r="D116" s="4" t="inlineStr">
        <is>
          <t>5</t>
        </is>
      </c>
      <c r="E116" s="5" t="inlineStr">
        <is>
          <t>950,00</t>
        </is>
      </c>
      <c r="F116" s="4" t="inlineStr">
        <is>
          <t>150.00</t>
        </is>
      </c>
    </row>
    <row collapsed="false" customFormat="false" customHeight="false" hidden="false" ht="12.1" outlineLevel="0" r="117">
      <c r="A117" s="5" t="s">
        <f>=HYPERLINK("https://leilaoonline.net/lote/detalhe/37045", "17011")</f>
      </c>
      <c r="B117" s="4" t="s">
        <f>=HYPERLINK("https://leilaoonline.net/lote/detalhe/37045", "TRANBORDO ATA 12 T, ANO 2012, FR84795, UND DESTIVALE")</f>
      </c>
      <c r="C117" s="4" t="inlineStr">
        <is>
          <t>Não vendido</t>
        </is>
      </c>
      <c r="D117" s="4" t="inlineStr">
        <is>
          <t>1</t>
        </is>
      </c>
      <c r="E117" s="5" t="inlineStr">
        <is>
          <t>2.250,00</t>
        </is>
      </c>
      <c r="F117" s="4" t="inlineStr">
        <is>
          <t>150.00</t>
        </is>
      </c>
    </row>
    <row collapsed="false" customFormat="false" customHeight="false" hidden="false" ht="12.1" outlineLevel="0" r="118">
      <c r="A118" s="5" t="s">
        <f>=HYPERLINK("https://leilaoonline.net/lote/detalhe/37046", "17012")</f>
      </c>
      <c r="B118" s="4" t="s">
        <f>=HYPERLINK("https://leilaoonline.net/lote/detalhe/37046", "TRANSBORDO, FR91275, UND DESTIVALE")</f>
      </c>
      <c r="C118" s="4" t="inlineStr">
        <is>
          <t>Não vendido</t>
        </is>
      </c>
      <c r="D118" s="4" t="inlineStr">
        <is>
          <t>0</t>
        </is>
      </c>
      <c r="E118" s="5" t="inlineStr">
        <is>
          <t>2.250,00</t>
        </is>
      </c>
      <c r="F118" s="4" t="inlineStr">
        <is>
          <t>150.00</t>
        </is>
      </c>
    </row>
    <row collapsed="false" customFormat="false" customHeight="false" hidden="false" ht="12.1" outlineLevel="0" r="119">
      <c r="A119" s="5" t="s">
        <f>=HYPERLINK("https://leilaoonline.net/lote/detalhe/37047", "17013")</f>
      </c>
      <c r="B119" s="4" t="s">
        <f>=HYPERLINK("https://leilaoonline.net/lote/detalhe/37047", "TRANSBORDO, FR91289, UND DESTIVALE")</f>
      </c>
      <c r="C119" s="4" t="inlineStr">
        <is>
          <t>Não vendido</t>
        </is>
      </c>
      <c r="D119" s="4" t="inlineStr">
        <is>
          <t>1</t>
        </is>
      </c>
      <c r="E119" s="5" t="inlineStr">
        <is>
          <t>2.250,00</t>
        </is>
      </c>
      <c r="F119" s="4" t="inlineStr">
        <is>
          <t>150.00</t>
        </is>
      </c>
    </row>
    <row collapsed="false" customFormat="false" customHeight="false" hidden="false" ht="12.1" outlineLevel="0" r="120">
      <c r="A120" s="5" t="s">
        <f>=HYPERLINK("https://leilaoonline.net/lote/detalhe/37048", "17014")</f>
      </c>
      <c r="B120" s="4" t="s">
        <f>=HYPERLINK("https://leilaoonline.net/lote/detalhe/37048", "MOTO BOMBA MWM D229/6, FR91855, UND DESTIVALE")</f>
      </c>
      <c r="C120" s="4" t="inlineStr">
        <is>
          <t>Vendido</t>
        </is>
      </c>
      <c r="D120" s="4" t="inlineStr">
        <is>
          <t>23</t>
        </is>
      </c>
      <c r="E120" s="5" t="inlineStr">
        <is>
          <t>5.200,00</t>
        </is>
      </c>
      <c r="F120" s="4" t="inlineStr">
        <is>
          <t>150.00</t>
        </is>
      </c>
    </row>
    <row collapsed="false" customFormat="false" customHeight="false" hidden="false" ht="12.1" outlineLevel="0" r="121">
      <c r="A121" s="5" t="s">
        <f>=HYPERLINK("https://leilaoonline.net/lote/detalhe/37049", "17015")</f>
      </c>
      <c r="B121" s="4" t="s">
        <f>=HYPERLINK("https://leilaoonline.net/lote/detalhe/37049", "TRANSBORDO ATA 10.500T, ANO 2010, FR47046, UND DESTIVALE")</f>
      </c>
      <c r="C121" s="4" t="inlineStr">
        <is>
          <t>Não vendido</t>
        </is>
      </c>
      <c r="D121" s="4" t="inlineStr">
        <is>
          <t>2</t>
        </is>
      </c>
      <c r="E121" s="5" t="inlineStr">
        <is>
          <t>2.400,00</t>
        </is>
      </c>
      <c r="F121" s="4" t="inlineStr">
        <is>
          <t>150.00</t>
        </is>
      </c>
    </row>
    <row collapsed="false" customFormat="false" customHeight="false" hidden="false" ht="12.1" outlineLevel="0" r="122">
      <c r="A122" s="5" t="s">
        <f>=HYPERLINK("https://leilaoonline.net/lote/detalhe/37050", "17016")</f>
      </c>
      <c r="B122" s="4" t="s">
        <f>=HYPERLINK("https://leilaoonline.net/lote/detalhe/37050", "TRANSBORDO ATA 10.500T, ANO 2010, FR84783, UND DESTIVALE")</f>
      </c>
      <c r="C122" s="4" t="inlineStr">
        <is>
          <t>Não vendido</t>
        </is>
      </c>
      <c r="D122" s="4" t="inlineStr">
        <is>
          <t>2</t>
        </is>
      </c>
      <c r="E122" s="5" t="inlineStr">
        <is>
          <t>2.400,00</t>
        </is>
      </c>
      <c r="F122" s="4" t="inlineStr">
        <is>
          <t>150.00</t>
        </is>
      </c>
    </row>
    <row collapsed="false" customFormat="false" customHeight="false" hidden="false" ht="12.1" outlineLevel="0" r="123">
      <c r="A123" s="5" t="s">
        <f>=HYPERLINK("https://leilaoonline.net/lote/detalhe/37051", "17017")</f>
      </c>
      <c r="B123" s="4" t="s">
        <f>=HYPERLINK("https://leilaoonline.net/lote/detalhe/37051", "CARRETA DE SERVIÇOS DIVERSOS E QUINTA RODA, S/FR, UND UNIVALEM")</f>
      </c>
      <c r="C123" s="4" t="inlineStr">
        <is>
          <t>Vendido</t>
        </is>
      </c>
      <c r="D123" s="4" t="inlineStr">
        <is>
          <t>6</t>
        </is>
      </c>
      <c r="E123" s="5" t="inlineStr">
        <is>
          <t>1.100,00</t>
        </is>
      </c>
      <c r="F123" s="4" t="inlineStr">
        <is>
          <t>150.00</t>
        </is>
      </c>
    </row>
    <row collapsed="false" customFormat="false" customHeight="false" hidden="false" ht="12.1" outlineLevel="0" r="124">
      <c r="A124" s="5" t="s">
        <f>=HYPERLINK("https://leilaoonline.net/lote/detalhe/37068", "17018")</f>
      </c>
      <c r="B124" s="4" t="s">
        <f>=HYPERLINK("https://leilaoonline.net/lote/detalhe/37068", "PRANCHA SR/SOUFER CA 2E, ANO 2010/2011, FR139960, UND UNIVALEM")</f>
      </c>
      <c r="C124" s="4" t="inlineStr">
        <is>
          <t>Não vendido</t>
        </is>
      </c>
      <c r="D124" s="4" t="inlineStr">
        <is>
          <t>59</t>
        </is>
      </c>
      <c r="E124" s="5" t="inlineStr">
        <is>
          <t>20.000,00</t>
        </is>
      </c>
      <c r="F124" s="4" t="inlineStr">
        <is>
          <t>250.00</t>
        </is>
      </c>
    </row>
    <row collapsed="false" customFormat="false" customHeight="false" hidden="false" ht="12.1" outlineLevel="0" r="125">
      <c r="A125" s="5" t="s">
        <f>=HYPERLINK("https://leilaoonline.net/lote/detalhe/37052", "17019")</f>
      </c>
      <c r="B125" s="4" t="s">
        <f>=HYPERLINK("https://leilaoonline.net/lote/detalhe/37052", "DOLLY, FR91906, (SEM DOCUMENTO, UND UNIVALEM")</f>
      </c>
      <c r="C125" s="4" t="inlineStr">
        <is>
          <t>Vendido</t>
        </is>
      </c>
      <c r="D125" s="4" t="inlineStr">
        <is>
          <t>25</t>
        </is>
      </c>
      <c r="E125" s="5" t="inlineStr">
        <is>
          <t>5.000,00</t>
        </is>
      </c>
      <c r="F125" s="4" t="inlineStr">
        <is>
          <t>150.00</t>
        </is>
      </c>
    </row>
    <row collapsed="false" customFormat="false" customHeight="false" hidden="false" ht="12.1" outlineLevel="0" r="126">
      <c r="A126" s="5" t="s">
        <f>=HYPERLINK("https://leilaoonline.net/lote/detalhe/37848", "17020")</f>
      </c>
      <c r="B126" s="4" t="s">
        <f>=HYPERLINK("https://leilaoonline.net/lote/detalhe/37848", "veja descritivo quantidade aproximada 100 ITENS DIVERSOS, S/FR, UND JATAÍ")</f>
      </c>
      <c r="C126" s="4" t="inlineStr">
        <is>
          <t>Não vendido</t>
        </is>
      </c>
      <c r="D126" s="4" t="inlineStr">
        <is>
          <t>0</t>
        </is>
      </c>
      <c r="E126" s="5" t="inlineStr">
        <is>
          <t>750,00</t>
        </is>
      </c>
      <c r="F126" s="4" t="inlineStr">
        <is>
          <t>150.00</t>
        </is>
      </c>
    </row>
    <row collapsed="false" customFormat="false" customHeight="false" hidden="false" ht="12.1" outlineLevel="0" r="127">
      <c r="A127" s="5" t="s">
        <f>=HYPERLINK("https://leilaoonline.net/lote/detalhe/37849", "17021")</f>
      </c>
      <c r="B127" s="4" t="s">
        <f>=HYPERLINK("https://leilaoonline.net/lote/detalhe/37849", "veja descritivo quantidade aproximada 8000 ITENS DIVERSOS, S/FR, UND IPAUSSU")</f>
      </c>
      <c r="C127" s="4" t="inlineStr">
        <is>
          <t>Não vendido</t>
        </is>
      </c>
      <c r="D127" s="4" t="inlineStr">
        <is>
          <t>1</t>
        </is>
      </c>
      <c r="E127" s="5" t="inlineStr">
        <is>
          <t>7.550,00</t>
        </is>
      </c>
      <c r="F127" s="4" t="inlineStr">
        <is>
          <t>150.00</t>
        </is>
      </c>
    </row>
    <row collapsed="false" customFormat="false" customHeight="false" hidden="false" ht="12.1" outlineLevel="0" r="128">
      <c r="A128" s="5" t="s">
        <f>=HYPERLINK("https://leilaoonline.net/lote/detalhe/37055", "17022")</f>
      </c>
      <c r="B128" s="4" t="s">
        <f>=HYPERLINK("https://leilaoonline.net/lote/detalhe/37055", "R/RANDON RQ CA S. REBOQUE, ANO 2010, FR96794, UND UNIVALEM")</f>
      </c>
      <c r="C128" s="4" t="inlineStr">
        <is>
          <t>Não vendido</t>
        </is>
      </c>
      <c r="D128" s="4" t="inlineStr">
        <is>
          <t>6</t>
        </is>
      </c>
      <c r="E128" s="5" t="inlineStr">
        <is>
          <t>11.750,00</t>
        </is>
      </c>
      <c r="F128" s="4" t="inlineStr">
        <is>
          <t>150.00</t>
        </is>
      </c>
    </row>
    <row collapsed="false" customFormat="false" customHeight="false" hidden="false" ht="12.1" outlineLevel="0" r="129">
      <c r="A129" s="5" t="s">
        <f>=HYPERLINK("https://leilaoonline.net/lote/detalhe/37056", "17023")</f>
      </c>
      <c r="B129" s="4" t="s">
        <f>=HYPERLINK("https://leilaoonline.net/lote/detalhe/37056", "S.REBOQUE R/RANDONSP, FR56834, ANO 2010, UND UNIVALEM")</f>
      </c>
      <c r="C129" s="4" t="inlineStr">
        <is>
          <t>Não vendido</t>
        </is>
      </c>
      <c r="D129" s="4" t="inlineStr">
        <is>
          <t>36</t>
        </is>
      </c>
      <c r="E129" s="5" t="inlineStr">
        <is>
          <t>19.250,00</t>
        </is>
      </c>
      <c r="F129" s="4" t="inlineStr">
        <is>
          <t>250.00</t>
        </is>
      </c>
    </row>
    <row collapsed="false" customFormat="false" customHeight="false" hidden="false" ht="12.1" outlineLevel="0" r="130">
      <c r="A130" s="5" t="s">
        <f>=HYPERLINK("https://leilaoonline.net/lote/detalhe/37057", "17024")</f>
      </c>
      <c r="B130" s="4" t="s">
        <f>=HYPERLINK("https://leilaoonline.net/lote/detalhe/37057", "S. REBOQUE R/RANDONSP RQ CA,  ANO 2012, FR88531, UND UNIVALEM (RECUP-CSV01380284945)")</f>
      </c>
      <c r="C130" s="4" t="inlineStr">
        <is>
          <t>Não vendido</t>
        </is>
      </c>
      <c r="D130" s="4" t="inlineStr">
        <is>
          <t>4</t>
        </is>
      </c>
      <c r="E130" s="5" t="inlineStr">
        <is>
          <t>11.250,00</t>
        </is>
      </c>
      <c r="F130" s="4" t="inlineStr">
        <is>
          <t>250.00</t>
        </is>
      </c>
    </row>
    <row collapsed="false" customFormat="false" customHeight="false" hidden="false" ht="12.1" outlineLevel="0" r="131">
      <c r="A131" s="5" t="s">
        <f>=HYPERLINK("https://leilaoonline.net/lote/detalhe/37059", "17025")</f>
      </c>
      <c r="B131" s="4" t="s">
        <f>=HYPERLINK("https://leilaoonline.net/lote/detalhe/37059", "CARROCERIA DE CANA PICADA, FR001, UND UNIVALEM")</f>
      </c>
      <c r="C131" s="4" t="inlineStr">
        <is>
          <t>Vendido</t>
        </is>
      </c>
      <c r="D131" s="4" t="inlineStr">
        <is>
          <t>1</t>
        </is>
      </c>
      <c r="E131" s="5" t="inlineStr">
        <is>
          <t>1.400,00</t>
        </is>
      </c>
      <c r="F131" s="4" t="inlineStr">
        <is>
          <t>150.00</t>
        </is>
      </c>
    </row>
    <row collapsed="false" customFormat="false" customHeight="false" hidden="false" ht="12.1" outlineLevel="0" r="132">
      <c r="A132" s="5" t="s">
        <f>=HYPERLINK("https://leilaoonline.net/lote/detalhe/37062", "17026")</f>
      </c>
      <c r="B132" s="4" t="s">
        <f>=HYPERLINK("https://leilaoonline.net/lote/detalhe/37062", "CARROCERIA DE CANA PICADA, FR002, UND UNIVALEM")</f>
      </c>
      <c r="C132" s="4" t="inlineStr">
        <is>
          <t>Vendido</t>
        </is>
      </c>
      <c r="D132" s="4" t="inlineStr">
        <is>
          <t>1</t>
        </is>
      </c>
      <c r="E132" s="5" t="inlineStr">
        <is>
          <t>1.400,00</t>
        </is>
      </c>
      <c r="F132" s="4" t="inlineStr">
        <is>
          <t>150.00</t>
        </is>
      </c>
    </row>
    <row collapsed="false" customFormat="false" customHeight="false" hidden="false" ht="12.1" outlineLevel="0" r="133">
      <c r="A133" s="5" t="s">
        <f>=HYPERLINK("https://leilaoonline.net/lote/detalhe/37064", "17027")</f>
      </c>
      <c r="B133" s="4" t="s">
        <f>=HYPERLINK("https://leilaoonline.net/lote/detalhe/37064", "CARROCERIA DE CANA PICADA, FR003, UND UNIVALEM")</f>
      </c>
      <c r="C133" s="4" t="inlineStr">
        <is>
          <t>Vendido</t>
        </is>
      </c>
      <c r="D133" s="4" t="inlineStr">
        <is>
          <t>3</t>
        </is>
      </c>
      <c r="E133" s="5" t="inlineStr">
        <is>
          <t>1.550,00</t>
        </is>
      </c>
      <c r="F133" s="4" t="inlineStr">
        <is>
          <t>150.00</t>
        </is>
      </c>
    </row>
    <row collapsed="false" customFormat="false" customHeight="false" hidden="false" ht="12.1" outlineLevel="0" r="134">
      <c r="A134" s="5" t="s">
        <f>=HYPERLINK("https://leilaoonline.net/lote/detalhe/37065", "17028")</f>
      </c>
      <c r="B134" s="4" t="s">
        <f>=HYPERLINK("https://leilaoonline.net/lote/detalhe/37065", "CARROCERIA DE CANA PICADA, FR004, UND UNIVALEM")</f>
      </c>
      <c r="C134" s="4" t="inlineStr">
        <is>
          <t>Vendido</t>
        </is>
      </c>
      <c r="D134" s="4" t="inlineStr">
        <is>
          <t>5</t>
        </is>
      </c>
      <c r="E134" s="5" t="inlineStr">
        <is>
          <t>2.000,00</t>
        </is>
      </c>
      <c r="F134" s="4" t="inlineStr">
        <is>
          <t>150.00</t>
        </is>
      </c>
    </row>
    <row collapsed="false" customFormat="false" customHeight="false" hidden="false" ht="12.1" outlineLevel="0" r="135">
      <c r="A135" s="5" t="s">
        <f>=HYPERLINK("https://leilaoonline.net/lote/detalhe/37066", "17029")</f>
      </c>
      <c r="B135" s="4" t="s">
        <f>=HYPERLINK("https://leilaoonline.net/lote/detalhe/37066", "CARROCERIA DE CANA PICADA, FR005, UND UNIVALEM")</f>
      </c>
      <c r="C135" s="4" t="inlineStr">
        <is>
          <t>Vendido</t>
        </is>
      </c>
      <c r="D135" s="4" t="inlineStr">
        <is>
          <t>2</t>
        </is>
      </c>
      <c r="E135" s="5" t="inlineStr">
        <is>
          <t>1.550,00</t>
        </is>
      </c>
      <c r="F135" s="4" t="inlineStr">
        <is>
          <t>150.00</t>
        </is>
      </c>
    </row>
    <row collapsed="false" customFormat="false" customHeight="false" hidden="false" ht="12.1" outlineLevel="0" r="136">
      <c r="A136" s="5" t="s">
        <f>=HYPERLINK("https://leilaoonline.net/lote/detalhe/37067", "17030")</f>
      </c>
      <c r="B136" s="4" t="s">
        <f>=HYPERLINK("https://leilaoonline.net/lote/detalhe/37067", "S.REBOQUE R/RANDON RQCA, FR82645, ANO 2010, UND UNIVALEM")</f>
      </c>
      <c r="C136" s="4" t="inlineStr">
        <is>
          <t>Não vendido</t>
        </is>
      </c>
      <c r="D136" s="4" t="inlineStr">
        <is>
          <t>3</t>
        </is>
      </c>
      <c r="E136" s="5" t="inlineStr">
        <is>
          <t>11.000,00</t>
        </is>
      </c>
      <c r="F136" s="4" t="inlineStr">
        <is>
          <t>250.00</t>
        </is>
      </c>
    </row>
    <row collapsed="false" customFormat="false" customHeight="false" hidden="false" ht="12.1" outlineLevel="0" r="137">
      <c r="A137" s="5" t="s">
        <f>=HYPERLINK("https://leilaoonline.net/lote/detalhe/37069", "17031")</f>
      </c>
      <c r="B137" s="4" t="s">
        <f>=HYPERLINK("https://leilaoonline.net/lote/detalhe/37069", "TRATOR CASE MAXXUM 180, FR112402, ANO 2014, UND MUNDIAL")</f>
      </c>
      <c r="C137" s="4" t="inlineStr">
        <is>
          <t>Não vendido</t>
        </is>
      </c>
      <c r="D137" s="4" t="inlineStr">
        <is>
          <t>98</t>
        </is>
      </c>
      <c r="E137" s="5" t="inlineStr">
        <is>
          <t>60.500,00</t>
        </is>
      </c>
      <c r="F137" s="4" t="inlineStr">
        <is>
          <t>250.00</t>
        </is>
      </c>
    </row>
    <row collapsed="false" customFormat="false" customHeight="false" hidden="false" ht="12.1" outlineLevel="0" r="138">
      <c r="A138" s="5" t="s">
        <f>=HYPERLINK("https://leilaoonline.net/lote/detalhe/37070", "17032")</f>
      </c>
      <c r="B138" s="4" t="s">
        <f>=HYPERLINK("https://leilaoonline.net/lote/detalhe/37070", "TRATOR NEW HOLLAND T8 295, FR112500, ANO 2014, UND UNIVALEM")</f>
      </c>
      <c r="C138" s="4" t="inlineStr">
        <is>
          <t>Não vendido</t>
        </is>
      </c>
      <c r="D138" s="4" t="inlineStr">
        <is>
          <t>42</t>
        </is>
      </c>
      <c r="E138" s="5" t="inlineStr">
        <is>
          <t>102.150,00</t>
        </is>
      </c>
      <c r="F138" s="4" t="inlineStr">
        <is>
          <t>150.00</t>
        </is>
      </c>
    </row>
    <row collapsed="false" customFormat="false" customHeight="false" hidden="false" ht="12.1" outlineLevel="0" r="139">
      <c r="A139" s="5" t="s">
        <f>=HYPERLINK("https://leilaoonline.net/lote/detalhe/37071", "17033")</f>
      </c>
      <c r="B139" s="4" t="s">
        <f>=HYPERLINK("https://leilaoonline.net/lote/detalhe/37071", "DOLLY, FR56896 (sem documento), und mundial")</f>
      </c>
      <c r="C139" s="4" t="inlineStr">
        <is>
          <t>Vendido</t>
        </is>
      </c>
      <c r="D139" s="4" t="inlineStr">
        <is>
          <t>23</t>
        </is>
      </c>
      <c r="E139" s="5" t="inlineStr">
        <is>
          <t>5.000,00</t>
        </is>
      </c>
      <c r="F139" s="4" t="inlineStr">
        <is>
          <t>150.00</t>
        </is>
      </c>
    </row>
    <row collapsed="false" customFormat="false" customHeight="false" hidden="false" ht="12.1" outlineLevel="0" r="140">
      <c r="A140" s="5" t="s">
        <f>=HYPERLINK("https://leilaoonline.net/lote/detalhe/37072", "17034")</f>
      </c>
      <c r="B140" s="4" t="s">
        <f>=HYPERLINK("https://leilaoonline.net/lote/detalhe/37072", "TRATOR CASE MAGNUM 240, patrim.147876, ANO 2010, UND MUNDIAL")</f>
      </c>
      <c r="C140" s="4" t="inlineStr">
        <is>
          <t>Vendido</t>
        </is>
      </c>
      <c r="D140" s="4" t="inlineStr">
        <is>
          <t>37</t>
        </is>
      </c>
      <c r="E140" s="5" t="inlineStr">
        <is>
          <t>36.500,00</t>
        </is>
      </c>
      <c r="F140" s="4" t="inlineStr">
        <is>
          <t>150.00</t>
        </is>
      </c>
    </row>
    <row collapsed="false" customFormat="false" customHeight="false" hidden="false" ht="12.1" outlineLevel="0" r="141">
      <c r="A141" s="5" t="s">
        <f>=HYPERLINK("https://leilaoonline.net/lote/detalhe/37074", "17035")</f>
      </c>
      <c r="B141" s="4" t="s">
        <f>=HYPERLINK("https://leilaoonline.net/lote/detalhe/37074", "REB/ANTONINI, CARROC. TRANSBORDO, ANO 1996, FR96150, UND MUNDIAL")</f>
      </c>
      <c r="C141" s="4" t="inlineStr">
        <is>
          <t>Não vendido</t>
        </is>
      </c>
      <c r="D141" s="4" t="inlineStr">
        <is>
          <t>9</t>
        </is>
      </c>
      <c r="E141" s="5" t="inlineStr">
        <is>
          <t>7.750,00</t>
        </is>
      </c>
      <c r="F141" s="4" t="inlineStr">
        <is>
          <t>250.00</t>
        </is>
      </c>
    </row>
    <row collapsed="false" customFormat="false" customHeight="false" hidden="false" ht="12.1" outlineLevel="0" r="142">
      <c r="A142" s="5" t="s">
        <f>=HYPERLINK("https://leilaoonline.net/lote/detalhe/37075", "17036")</f>
      </c>
      <c r="B142" s="4" t="s">
        <f>=HYPERLINK("https://leilaoonline.net/lote/detalhe/37075", "R/SOUFER CA 2E CARROC. TRANSBORDO, ANO 2012, FR112324, UND MUNDIAL")</f>
      </c>
      <c r="C142" s="4" t="inlineStr">
        <is>
          <t>Não vendido</t>
        </is>
      </c>
      <c r="D142" s="4" t="inlineStr">
        <is>
          <t>10</t>
        </is>
      </c>
      <c r="E142" s="5" t="inlineStr">
        <is>
          <t>10.250,00</t>
        </is>
      </c>
      <c r="F142" s="4" t="inlineStr">
        <is>
          <t>250.00</t>
        </is>
      </c>
    </row>
    <row collapsed="false" customFormat="false" customHeight="false" hidden="false" ht="12.1" outlineLevel="0" r="143">
      <c r="A143" s="5" t="s">
        <f>=HYPERLINK("https://leilaoonline.net/lote/detalhe/37847", "17037")</f>
      </c>
      <c r="B143" s="4" t="s">
        <f>=HYPERLINK("https://leilaoonline.net/lote/detalhe/37847", "veja descrição  quantidade aproximada - 2350 itens diversos - 140 jogos diversos, S/FR, UND UNIVALEM")</f>
      </c>
      <c r="C143" s="4" t="inlineStr">
        <is>
          <t>Não vendido</t>
        </is>
      </c>
      <c r="D143" s="4" t="inlineStr">
        <is>
          <t>0</t>
        </is>
      </c>
      <c r="E143" s="5" t="inlineStr">
        <is>
          <t>3.250,00</t>
        </is>
      </c>
      <c r="F143" s="4" t="inlineStr">
        <is>
          <t>150.00</t>
        </is>
      </c>
    </row>
    <row collapsed="false" customFormat="false" customHeight="false" hidden="false" ht="12.1" outlineLevel="0" r="144">
      <c r="A144" s="5" t="s">
        <f>=HYPERLINK("https://leilaoonline.net/lote/detalhe/37058", "17038")</f>
      </c>
      <c r="B144" s="4" t="s">
        <f>=HYPERLINK("https://leilaoonline.net/lote/detalhe/37058", "S.REBOQUE R/RANDONSP RQ CA, FR88535, ANO 2012, UND UNIVALEM")</f>
      </c>
      <c r="C144" s="4" t="inlineStr">
        <is>
          <t>Não vendido</t>
        </is>
      </c>
      <c r="D144" s="4" t="inlineStr">
        <is>
          <t>32</t>
        </is>
      </c>
      <c r="E144" s="5" t="inlineStr">
        <is>
          <t>20.000,00</t>
        </is>
      </c>
      <c r="F144" s="4" t="inlineStr">
        <is>
          <t>250.00</t>
        </is>
      </c>
    </row>
    <row collapsed="false" customFormat="false" customHeight="false" hidden="false" ht="12.1" outlineLevel="0" r="145">
      <c r="A145" s="5" t="s">
        <f>=HYPERLINK("https://leilaoonline.net/lote/detalhe/37508", "17039")</f>
      </c>
      <c r="B145" s="4" t="s">
        <f>=HYPERLINK("https://leilaoonline.net/lote/detalhe/37508", "IMPRESSORA,TV,CX DE SOM, FAX E RACKER, S/FR, UND GASA")</f>
      </c>
      <c r="C145" s="4" t="inlineStr">
        <is>
          <t>Não vendido</t>
        </is>
      </c>
      <c r="D145" s="4" t="inlineStr">
        <is>
          <t>0</t>
        </is>
      </c>
      <c r="E145" s="5" t="inlineStr">
        <is>
          <t>100,00</t>
        </is>
      </c>
      <c r="F145" s="4" t="inlineStr">
        <is>
          <t>50.00</t>
        </is>
      </c>
    </row>
    <row collapsed="false" customFormat="false" customHeight="false" hidden="false" ht="12.1" outlineLevel="0" r="146">
      <c r="A146" s="5" t="s">
        <f>=HYPERLINK("https://leilaoonline.net/lote/detalhe/37602", "17040")</f>
      </c>
      <c r="B146" s="4" t="s">
        <f>=HYPERLINK("https://leilaoonline.net/lote/detalhe/37602", "CAIXA D'AGUA, S/FR, UND GASA")</f>
      </c>
      <c r="C146" s="4" t="inlineStr">
        <is>
          <t>Não vendido</t>
        </is>
      </c>
      <c r="D146" s="4" t="inlineStr">
        <is>
          <t>8</t>
        </is>
      </c>
      <c r="E146" s="5" t="inlineStr">
        <is>
          <t>500,00</t>
        </is>
      </c>
      <c r="F146" s="4" t="inlineStr">
        <is>
          <t>50.00</t>
        </is>
      </c>
    </row>
    <row collapsed="false" customFormat="false" customHeight="false" hidden="false" ht="12.1" outlineLevel="0" r="147">
      <c r="A147" s="5" t="s">
        <f>=HYPERLINK("https://leilaoonline.net/lote/detalhe/37844", "17041")</f>
      </c>
      <c r="B147" s="4" t="s">
        <f>=HYPERLINK("https://leilaoonline.net/lote/detalhe/37844", "veja descritivo QUANTIDADE APROXIMADA - 770 itens diversos - 20 jogos itens diversos, S/FR, UND MUNDIAL")</f>
      </c>
      <c r="C147" s="4" t="inlineStr">
        <is>
          <t>Não vendido</t>
        </is>
      </c>
      <c r="D147" s="4" t="inlineStr">
        <is>
          <t>0</t>
        </is>
      </c>
      <c r="E147" s="5" t="inlineStr">
        <is>
          <t>2.250,00</t>
        </is>
      </c>
      <c r="F147" s="4" t="inlineStr">
        <is>
          <t>250.00</t>
        </is>
      </c>
    </row>
    <row collapsed="false" customFormat="false" customHeight="false" hidden="false" ht="12.1" outlineLevel="0" r="148">
      <c r="A148" s="5" t="s">
        <f>=HYPERLINK("https://leilaoonline.net/lote/detalhe/37845", "17042")</f>
      </c>
      <c r="B148" s="4" t="s">
        <f>=HYPERLINK("https://leilaoonline.net/lote/detalhe/37845", "veja descritivo quantidade aproximada - 800 ITENS DIVERSOS ROLAMENTOS E OUTROS, S/FR, UND BENALCOOL")</f>
      </c>
      <c r="C148" s="4" t="inlineStr">
        <is>
          <t>Não vendido</t>
        </is>
      </c>
      <c r="D148" s="4" t="inlineStr">
        <is>
          <t>0</t>
        </is>
      </c>
      <c r="E148" s="5" t="inlineStr">
        <is>
          <t>3.550,00</t>
        </is>
      </c>
      <c r="F148" s="4" t="inlineStr">
        <is>
          <t>250.00</t>
        </is>
      </c>
    </row>
    <row collapsed="false" customFormat="false" customHeight="false" hidden="false" ht="12.1" outlineLevel="0" r="149">
      <c r="A149" s="5" t="s">
        <f>=HYPERLINK("https://leilaoonline.net/lote/detalhe/37846", "17043")</f>
      </c>
      <c r="B149" s="4" t="s">
        <f>=HYPERLINK("https://leilaoonline.net/lote/detalhe/37846", "veja descritivo quantidade aproximada 4100 ITENS DIVERSOS bobinas e outros.... UND DESTIVALE")</f>
      </c>
      <c r="C149" s="4" t="inlineStr">
        <is>
          <t>Não vendido</t>
        </is>
      </c>
      <c r="D149" s="4" t="inlineStr">
        <is>
          <t>0</t>
        </is>
      </c>
      <c r="E149" s="5" t="inlineStr">
        <is>
          <t>300,00</t>
        </is>
      </c>
      <c r="F149" s="4" t="inlineStr">
        <is>
          <t>100.00</t>
        </is>
      </c>
    </row>
    <row collapsed="false" customFormat="false" customHeight="false" hidden="false" ht="12.1" outlineLevel="0" r="150">
      <c r="A150" s="5" t="s">
        <f>=HYPERLINK("https://leilaoonline.net/lote/detalhe/37496", "20213")</f>
      </c>
      <c r="B150" s="4" t="s">
        <f>=HYPERLINK("https://leilaoonline.net/lote/detalhe/37496", " R/RANDON RQ CA REBOQUE C. PICADA, ANO 2013/2014, FR56370, UND C. PINTO")</f>
      </c>
      <c r="C150" s="4" t="inlineStr">
        <is>
          <t>Não vendido</t>
        </is>
      </c>
      <c r="D150" s="4" t="inlineStr">
        <is>
          <t>6</t>
        </is>
      </c>
      <c r="E150" s="5" t="inlineStr">
        <is>
          <t>29.250,00</t>
        </is>
      </c>
      <c r="F150" s="4" t="inlineStr">
        <is>
          <t>250.00</t>
        </is>
      </c>
    </row>
    <row collapsed="false" customFormat="false" customHeight="false" hidden="false" ht="12.1" outlineLevel="0" r="151">
      <c r="A151" s="5" t="s">
        <f>=HYPERLINK("https://leilaoonline.net/lote/detalhe/37493", "20218")</f>
      </c>
      <c r="B151" s="4" t="s">
        <f>=HYPERLINK("https://leilaoonline.net/lote/detalhe/37493", " TRANSBORDO ANTONIOSI, FR22736, UND C. PINTO")</f>
      </c>
      <c r="C151" s="4" t="inlineStr">
        <is>
          <t>Não vendido</t>
        </is>
      </c>
      <c r="D151" s="4" t="inlineStr">
        <is>
          <t>0</t>
        </is>
      </c>
      <c r="E151" s="5" t="inlineStr">
        <is>
          <t>5.750,00</t>
        </is>
      </c>
      <c r="F151" s="4" t="inlineStr">
        <is>
          <t>150.00</t>
        </is>
      </c>
    </row>
    <row collapsed="false" customFormat="false" customHeight="false" hidden="false" ht="12.1" outlineLevel="0" r="152">
      <c r="A152" s="5" t="s">
        <f>=HYPERLINK("https://leilaoonline.net/lote/detalhe/36695", "20220")</f>
      </c>
      <c r="B152" s="4" t="s">
        <f>=HYPERLINK("https://leilaoonline.net/lote/detalhe/36695", " TRANSBORDO SERMAG 2 CAIXAS 6T SMR10500, FR38337, UND. COSTA PINTO ")</f>
      </c>
      <c r="C152" s="4" t="inlineStr">
        <is>
          <t>Não vendido</t>
        </is>
      </c>
      <c r="D152" s="4" t="inlineStr">
        <is>
          <t>2</t>
        </is>
      </c>
      <c r="E152" s="5" t="inlineStr">
        <is>
          <t>2.400,00</t>
        </is>
      </c>
      <c r="F152" s="4" t="inlineStr">
        <is>
          <t>150.00</t>
        </is>
      </c>
    </row>
    <row collapsed="false" customFormat="false" customHeight="false" hidden="false" ht="12.1" outlineLevel="0" r="153">
      <c r="A153" s="5" t="s">
        <f>=HYPERLINK("https://leilaoonline.net/lote/detalhe/36715", "20222")</f>
      </c>
      <c r="B153" s="4" t="s">
        <f>=HYPERLINK("https://leilaoonline.net/lote/detalhe/36715", " TRANSBORDO ANTONIOSI ATA 12000 12T, FR57175, UND. COSTA PINTO ")</f>
      </c>
      <c r="C153" s="4" t="inlineStr">
        <is>
          <t>Não vendido</t>
        </is>
      </c>
      <c r="D153" s="4" t="inlineStr">
        <is>
          <t>4</t>
        </is>
      </c>
      <c r="E153" s="5" t="inlineStr">
        <is>
          <t>2.700,00</t>
        </is>
      </c>
      <c r="F153" s="4" t="inlineStr">
        <is>
          <t>150.00</t>
        </is>
      </c>
    </row>
    <row collapsed="false" customFormat="false" customHeight="false" hidden="false" ht="12.1" outlineLevel="0" r="154">
      <c r="A154" s="5" t="s">
        <f>=HYPERLINK("https://leilaoonline.net/lote/detalhe/36696", "20223")</f>
      </c>
      <c r="B154" s="4" t="s">
        <f>=HYPERLINK("https://leilaoonline.net/lote/detalhe/36696", " TRANSBORDO ANTONIOS ATA, FR139241, UND COSTA PINTO ")</f>
      </c>
      <c r="C154" s="4" t="inlineStr">
        <is>
          <t>Não vendido</t>
        </is>
      </c>
      <c r="D154" s="4" t="inlineStr">
        <is>
          <t>34</t>
        </is>
      </c>
      <c r="E154" s="5" t="inlineStr">
        <is>
          <t>7.200,00</t>
        </is>
      </c>
      <c r="F154" s="4" t="inlineStr">
        <is>
          <t>150.00</t>
        </is>
      </c>
    </row>
    <row collapsed="false" customFormat="false" customHeight="false" hidden="false" ht="12.1" outlineLevel="0" r="155">
      <c r="A155" s="5" t="s">
        <f>=HYPERLINK("https://leilaoonline.net/lote/detalhe/36685", "20224")</f>
      </c>
      <c r="B155" s="4" t="s">
        <f>=HYPERLINK("https://leilaoonline.net/lote/detalhe/36685", " TRANSBORDO SERMAG SMR10500 12 T, FR38331, UND COSTA PINTO ")</f>
      </c>
      <c r="C155" s="4" t="inlineStr">
        <is>
          <t>Não vendido</t>
        </is>
      </c>
      <c r="D155" s="4" t="inlineStr">
        <is>
          <t>2</t>
        </is>
      </c>
      <c r="E155" s="5" t="inlineStr">
        <is>
          <t>2.400,00</t>
        </is>
      </c>
      <c r="F155" s="4" t="inlineStr">
        <is>
          <t>150.00</t>
        </is>
      </c>
    </row>
    <row collapsed="false" customFormat="false" customHeight="false" hidden="false" ht="12.1" outlineLevel="0" r="156">
      <c r="A156" s="5" t="s">
        <f>=HYPERLINK("https://leilaoonline.net/lote/detalhe/37492", "20228")</f>
      </c>
      <c r="B156" s="4" t="s">
        <f>=HYPERLINK("https://leilaoonline.net/lote/detalhe/37492", " MOVEIS DIVERSOS ( veja descrição ) S/FR, UND COSTA PINTO ")</f>
      </c>
      <c r="C156" s="4" t="inlineStr">
        <is>
          <t>Vendido</t>
        </is>
      </c>
      <c r="D156" s="4" t="inlineStr">
        <is>
          <t>1</t>
        </is>
      </c>
      <c r="E156" s="5" t="inlineStr">
        <is>
          <t>350,00</t>
        </is>
      </c>
      <c r="F156" s="4" t="inlineStr">
        <is>
          <t>150.00</t>
        </is>
      </c>
    </row>
    <row collapsed="false" customFormat="false" customHeight="false" hidden="false" ht="12.1" outlineLevel="0" r="157">
      <c r="A157" s="5" t="s">
        <f>=HYPERLINK("https://leilaoonline.net/lote/detalhe/37668", "20229")</f>
      </c>
      <c r="B157" s="4" t="s">
        <f>=HYPERLINK("https://leilaoonline.net/lote/detalhe/37668", "6 PNEUS AGRÍCOLA (CARCAÇA), S/FR, UND COSTA PINTO")</f>
      </c>
      <c r="C157" s="4" t="inlineStr">
        <is>
          <t>Não vendido</t>
        </is>
      </c>
      <c r="D157" s="4" t="inlineStr">
        <is>
          <t>11</t>
        </is>
      </c>
      <c r="E157" s="5" t="inlineStr">
        <is>
          <t>2.100,00</t>
        </is>
      </c>
      <c r="F157" s="4" t="inlineStr">
        <is>
          <t>150.00</t>
        </is>
      </c>
    </row>
    <row collapsed="false" customFormat="false" customHeight="false" hidden="false" ht="12.1" outlineLevel="0" r="158">
      <c r="A158" s="5" t="s">
        <f>=HYPERLINK("https://leilaoonline.net/lote/detalhe/37494", "20232")</f>
      </c>
      <c r="B158" s="4" t="s">
        <f>=HYPERLINK("https://leilaoonline.net/lote/detalhe/37494", "90 RODAS E 90 PNEUS USADOS  (quantidade aproximada) 1 Step tamanho 1100/R22, S/FR, UND COSTA PINTO")</f>
      </c>
      <c r="C158" s="4" t="inlineStr">
        <is>
          <t>Vendido</t>
        </is>
      </c>
      <c r="D158" s="4" t="inlineStr">
        <is>
          <t>60</t>
        </is>
      </c>
      <c r="E158" s="5" t="inlineStr">
        <is>
          <t>39.000,00</t>
        </is>
      </c>
      <c r="F158" s="4" t="inlineStr">
        <is>
          <t>250.00</t>
        </is>
      </c>
    </row>
    <row collapsed="false" customFormat="false" customHeight="false" hidden="false" ht="12.1" outlineLevel="0" r="159">
      <c r="A159" s="5" t="s">
        <f>=HYPERLINK("https://leilaoonline.net/lote/detalhe/37600", "20235")</f>
      </c>
      <c r="B159" s="4" t="s">
        <f>=HYPERLINK("https://leilaoonline.net/lote/detalhe/37600", "CARPETE APROX. 4.500 M2 LARGURA 50X 50 CM - SF. UND. COSTA PINTO ")</f>
      </c>
      <c r="C159" s="4" t="inlineStr">
        <is>
          <t>Não vendido</t>
        </is>
      </c>
      <c r="D159" s="4" t="inlineStr">
        <is>
          <t>1</t>
        </is>
      </c>
      <c r="E159" s="5" t="inlineStr">
        <is>
          <t>350,00</t>
        </is>
      </c>
      <c r="F159" s="4" t="inlineStr">
        <is>
          <t>150.00</t>
        </is>
      </c>
    </row>
    <row collapsed="false" customFormat="false" customHeight="false" hidden="false" ht="12.1" outlineLevel="0" r="160">
      <c r="A160" s="5" t="s">
        <f>=HYPERLINK("https://leilaoonline.net/lote/detalhe/36704", "20236")</f>
      </c>
      <c r="B160" s="4" t="s">
        <f>=HYPERLINK("https://leilaoonline.net/lote/detalhe/36704", " HIDROROLL  METALMAG, FR57223, UND COSTA PINTO ")</f>
      </c>
      <c r="C160" s="4" t="inlineStr">
        <is>
          <t>Não vendido</t>
        </is>
      </c>
      <c r="D160" s="4" t="inlineStr">
        <is>
          <t>1</t>
        </is>
      </c>
      <c r="E160" s="5" t="inlineStr">
        <is>
          <t>550,00</t>
        </is>
      </c>
      <c r="F160" s="4" t="inlineStr">
        <is>
          <t>150.00</t>
        </is>
      </c>
    </row>
    <row collapsed="false" customFormat="false" customHeight="false" hidden="false" ht="12.1" outlineLevel="0" r="161">
      <c r="A161" s="5" t="s">
        <f>=HYPERLINK("https://leilaoonline.net/lote/detalhe/36688", "20237")</f>
      </c>
      <c r="B161" s="4" t="s">
        <f>=HYPERLINK("https://leilaoonline.net/lote/detalhe/36688", " CAMINHÃO VW.26.220 EURO3 WORKER, ANO 2011/2012, FR52540, UND COSTA PINTO ")</f>
      </c>
      <c r="C161" s="4" t="inlineStr">
        <is>
          <t>Não vendido</t>
        </is>
      </c>
      <c r="D161" s="4" t="inlineStr">
        <is>
          <t>108</t>
        </is>
      </c>
      <c r="E161" s="5" t="inlineStr">
        <is>
          <t>72.500,00</t>
        </is>
      </c>
      <c r="F161" s="4" t="inlineStr">
        <is>
          <t>250.00</t>
        </is>
      </c>
    </row>
    <row collapsed="false" customFormat="false" customHeight="false" hidden="false" ht="12.1" outlineLevel="0" r="162">
      <c r="A162" s="5" t="s">
        <f>=HYPERLINK("https://leilaoonline.net/lote/detalhe/36717", "20238")</f>
      </c>
      <c r="B162" s="4" t="s">
        <f>=HYPERLINK("https://leilaoonline.net/lote/detalhe/36717", " REBOQUE FNV FRUEHAUF RC, ANO 1981, FR81928, UND COSTA PINTO ")</f>
      </c>
      <c r="C162" s="4" t="inlineStr">
        <is>
          <t>Vendido</t>
        </is>
      </c>
      <c r="D162" s="4" t="inlineStr">
        <is>
          <t>12</t>
        </is>
      </c>
      <c r="E162" s="5" t="inlineStr">
        <is>
          <t>6.400,00</t>
        </is>
      </c>
      <c r="F162" s="4" t="inlineStr">
        <is>
          <t>150.00</t>
        </is>
      </c>
    </row>
    <row collapsed="false" customFormat="false" customHeight="false" hidden="false" ht="12.1" outlineLevel="0" r="163">
      <c r="A163" s="5" t="s">
        <f>=HYPERLINK("https://leilaoonline.net/lote/detalhe/36716", "20239")</f>
      </c>
      <c r="B163" s="4" t="s">
        <f>=HYPERLINK("https://leilaoonline.net/lote/detalhe/36716", " TRANSBORDO ANTONIOSI ATA 12000 12T, FR57172, UND COSTA PINTO ")</f>
      </c>
      <c r="C163" s="4" t="inlineStr">
        <is>
          <t>Não vendido</t>
        </is>
      </c>
      <c r="D163" s="4" t="inlineStr">
        <is>
          <t>0</t>
        </is>
      </c>
      <c r="E163" s="5" t="inlineStr">
        <is>
          <t>2.250,00</t>
        </is>
      </c>
      <c r="F163" s="4" t="inlineStr">
        <is>
          <t>150.00</t>
        </is>
      </c>
    </row>
    <row collapsed="false" customFormat="false" customHeight="false" hidden="false" ht="12.1" outlineLevel="0" r="164">
      <c r="A164" s="5" t="s">
        <f>=HYPERLINK("https://leilaoonline.net/lote/detalhe/36714", "20240")</f>
      </c>
      <c r="B164" s="4" t="s">
        <f>=HYPERLINK("https://leilaoonline.net/lote/detalhe/36714", " TRANSBORDO ANTONIOSI ATA 12000 12T, FR55058, UND COSTA PINTO ")</f>
      </c>
      <c r="C164" s="4" t="inlineStr">
        <is>
          <t>Não vendido</t>
        </is>
      </c>
      <c r="D164" s="4" t="inlineStr">
        <is>
          <t>1</t>
        </is>
      </c>
      <c r="E164" s="5" t="inlineStr">
        <is>
          <t>2.250,00</t>
        </is>
      </c>
      <c r="F164" s="4" t="inlineStr">
        <is>
          <t>150.00</t>
        </is>
      </c>
    </row>
    <row collapsed="false" customFormat="false" customHeight="false" hidden="false" ht="12.1" outlineLevel="0" r="165">
      <c r="A165" s="5" t="s">
        <f>=HYPERLINK("https://leilaoonline.net/lote/detalhe/36713", "20241")</f>
      </c>
      <c r="B165" s="4" t="s">
        <f>=HYPERLINK("https://leilaoonline.net/lote/detalhe/36713", " TRANSBORDO ANTONIOSI ATA 12000 12T, FR57171, UND COSTA PINTO ")</f>
      </c>
      <c r="C165" s="4" t="inlineStr">
        <is>
          <t>Não vendido</t>
        </is>
      </c>
      <c r="D165" s="4" t="inlineStr">
        <is>
          <t>25</t>
        </is>
      </c>
      <c r="E165" s="5" t="inlineStr">
        <is>
          <t>5.850,00</t>
        </is>
      </c>
      <c r="F165" s="4" t="inlineStr">
        <is>
          <t>150.00</t>
        </is>
      </c>
    </row>
    <row collapsed="false" customFormat="false" customHeight="false" hidden="false" ht="12.1" outlineLevel="0" r="166">
      <c r="A166" s="5" t="s">
        <f>=HYPERLINK("https://leilaoonline.net/lote/detalhe/36724", "20242")</f>
      </c>
      <c r="B166" s="4" t="s">
        <f>=HYPERLINK("https://leilaoonline.net/lote/detalhe/36724", " CAMINHÃO VW. 15-180 EURO3 WORKER ANO 2008/2009, COMBOIO,FR139263/140228, UND C, PINTO")</f>
      </c>
      <c r="C166" s="4" t="inlineStr">
        <is>
          <t>Não vendido</t>
        </is>
      </c>
      <c r="D166" s="4" t="inlineStr">
        <is>
          <t>36</t>
        </is>
      </c>
      <c r="E166" s="5" t="inlineStr">
        <is>
          <t>30.000,00</t>
        </is>
      </c>
      <c r="F166" s="4" t="inlineStr">
        <is>
          <t>250.00</t>
        </is>
      </c>
    </row>
    <row collapsed="false" customFormat="false" customHeight="false" hidden="false" ht="12.1" outlineLevel="0" r="167">
      <c r="A167" s="5" t="s">
        <f>=HYPERLINK("https://leilaoonline.net/lote/detalhe/36686", "20243")</f>
      </c>
      <c r="B167" s="4" t="s">
        <f>=HYPERLINK("https://leilaoonline.net/lote/detalhe/36686", " CARRETA ESPALHA TORTA FILTRO COR CINZA, FR 17112, UND. COSTA PINTO ")</f>
      </c>
      <c r="C167" s="4" t="inlineStr">
        <is>
          <t>Vendido</t>
        </is>
      </c>
      <c r="D167" s="4" t="inlineStr">
        <is>
          <t>19</t>
        </is>
      </c>
      <c r="E167" s="5" t="inlineStr">
        <is>
          <t>3.550,00</t>
        </is>
      </c>
      <c r="F167" s="4" t="inlineStr">
        <is>
          <t>150.00</t>
        </is>
      </c>
    </row>
    <row collapsed="false" customFormat="false" customHeight="false" hidden="false" ht="12.1" outlineLevel="0" r="168">
      <c r="A168" s="5" t="s">
        <f>=HYPERLINK("https://leilaoonline.net/lote/detalhe/36728", "20244")</f>
      </c>
      <c r="B168" s="4" t="s">
        <f>=HYPERLINK("https://leilaoonline.net/lote/detalhe/36728", " REBOQUE RANDON SP RQ CA, ANO 2012, FR22587, UND. COSTA PINTO ")</f>
      </c>
      <c r="C168" s="4" t="inlineStr">
        <is>
          <t>Não vendido</t>
        </is>
      </c>
      <c r="D168" s="4" t="inlineStr">
        <is>
          <t>38</t>
        </is>
      </c>
      <c r="E168" s="5" t="inlineStr">
        <is>
          <t>28.200,00</t>
        </is>
      </c>
      <c r="F168" s="4" t="inlineStr">
        <is>
          <t>150.00</t>
        </is>
      </c>
    </row>
    <row collapsed="false" customFormat="false" customHeight="false" hidden="false" ht="12.1" outlineLevel="0" r="169">
      <c r="A169" s="5" t="s">
        <f>=HYPERLINK("https://leilaoonline.net/lote/detalhe/36729", "20245")</f>
      </c>
      <c r="B169" s="4" t="s">
        <f>=HYPERLINK("https://leilaoonline.net/lote/detalhe/36729", " REBOQUE RANDONSP RQ CA, ANO 2010, FR22568, UND COSTA PINTO ")</f>
      </c>
      <c r="C169" s="4" t="inlineStr">
        <is>
          <t>Vendido</t>
        </is>
      </c>
      <c r="D169" s="4" t="inlineStr">
        <is>
          <t>46</t>
        </is>
      </c>
      <c r="E169" s="5" t="inlineStr">
        <is>
          <t>32.500,00</t>
        </is>
      </c>
      <c r="F169" s="4" t="inlineStr">
        <is>
          <t>150.00</t>
        </is>
      </c>
    </row>
    <row collapsed="false" customFormat="false" customHeight="false" hidden="false" ht="12.1" outlineLevel="0" r="170">
      <c r="A170" s="5" t="s">
        <f>=HYPERLINK("https://leilaoonline.net/lote/detalhe/36723", "20246")</f>
      </c>
      <c r="B170" s="4" t="s">
        <f>=HYPERLINK("https://leilaoonline.net/lote/detalhe/36723", " REBOQUE ANTONINI 7,60M CANA INTEIRA, ANO 1992, FR66048, UND. COSTA PINTO  ")</f>
      </c>
      <c r="C170" s="4" t="inlineStr">
        <is>
          <t>Não vendido</t>
        </is>
      </c>
      <c r="D170" s="4" t="inlineStr">
        <is>
          <t>0</t>
        </is>
      </c>
      <c r="E170" s="5" t="inlineStr">
        <is>
          <t>8.750,00</t>
        </is>
      </c>
      <c r="F170" s="4" t="inlineStr">
        <is>
          <t>250.00</t>
        </is>
      </c>
    </row>
    <row collapsed="false" customFormat="false" customHeight="false" hidden="false" ht="12.1" outlineLevel="0" r="171">
      <c r="A171" s="5" t="s">
        <f>=HYPERLINK("https://leilaoonline.net/lote/detalhe/36722", "20247")</f>
      </c>
      <c r="B171" s="4" t="s">
        <f>=HYPERLINK("https://leilaoonline.net/lote/detalhe/36722", " REBOQUE ANTONINI CANA INTEIRA, ANO 1993, FR36035, UND.COSTA PINTO (CHASSI REMARCADO)")</f>
      </c>
      <c r="C171" s="4" t="inlineStr">
        <is>
          <t>Não vendido</t>
        </is>
      </c>
      <c r="D171" s="4" t="inlineStr">
        <is>
          <t>0</t>
        </is>
      </c>
      <c r="E171" s="5" t="inlineStr">
        <is>
          <t>8.750,00</t>
        </is>
      </c>
      <c r="F171" s="4" t="inlineStr">
        <is>
          <t>250.00</t>
        </is>
      </c>
    </row>
    <row collapsed="false" customFormat="false" customHeight="false" hidden="false" ht="12.1" outlineLevel="0" r="172">
      <c r="A172" s="5" t="s">
        <f>=HYPERLINK("https://leilaoonline.net/lote/detalhe/36727", "20248")</f>
      </c>
      <c r="B172" s="4" t="s">
        <f>=HYPERLINK("https://leilaoonline.net/lote/detalhe/36727", " REBOQUE RANDON SP RQ CA, ANO 2010, FR139932, UND. COSTA PINTO ")</f>
      </c>
      <c r="C172" s="4" t="inlineStr">
        <is>
          <t>Não vendido</t>
        </is>
      </c>
      <c r="D172" s="4" t="inlineStr">
        <is>
          <t>22</t>
        </is>
      </c>
      <c r="E172" s="5" t="inlineStr">
        <is>
          <t>14.000,00</t>
        </is>
      </c>
      <c r="F172" s="4" t="inlineStr">
        <is>
          <t>250.00</t>
        </is>
      </c>
    </row>
    <row collapsed="false" customFormat="false" customHeight="false" hidden="false" ht="12.1" outlineLevel="0" r="173">
      <c r="A173" s="5" t="s">
        <f>=HYPERLINK("https://leilaoonline.net/lote/detalhe/36725", "20249")</f>
      </c>
      <c r="B173" s="4" t="s">
        <f>=HYPERLINK("https://leilaoonline.net/lote/detalhe/36725", " CARREGADOR DE BATERIA, FR 67419, UND. COSTA PINTO ")</f>
      </c>
      <c r="C173" s="4" t="inlineStr">
        <is>
          <t>Vendido</t>
        </is>
      </c>
      <c r="D173" s="4" t="inlineStr">
        <is>
          <t>2</t>
        </is>
      </c>
      <c r="E173" s="5" t="inlineStr">
        <is>
          <t>1.100,00</t>
        </is>
      </c>
      <c r="F173" s="4" t="inlineStr">
        <is>
          <t>100.00</t>
        </is>
      </c>
    </row>
    <row collapsed="false" customFormat="false" customHeight="false" hidden="false" ht="12.1" outlineLevel="0" r="174">
      <c r="A174" s="5" t="s">
        <f>=HYPERLINK("https://leilaoonline.net/lote/detalhe/36721", "20250")</f>
      </c>
      <c r="B174" s="4" t="s">
        <f>=HYPERLINK("https://leilaoonline.net/lote/detalhe/36721", " TRATOR M.F. 292 4X4, ANO 2011, FR51447, CARREGADEIRA CM50-P SUPER 2000,  UND COSTA PINTO ")</f>
      </c>
      <c r="C174" s="4" t="inlineStr">
        <is>
          <t>Vendido</t>
        </is>
      </c>
      <c r="D174" s="4" t="inlineStr">
        <is>
          <t>75</t>
        </is>
      </c>
      <c r="E174" s="5" t="inlineStr">
        <is>
          <t>47.250,00</t>
        </is>
      </c>
      <c r="F174" s="4" t="inlineStr">
        <is>
          <t>250.00</t>
        </is>
      </c>
    </row>
    <row collapsed="false" customFormat="false" customHeight="false" hidden="false" ht="12.1" outlineLevel="0" r="175">
      <c r="A175" s="5" t="s">
        <f>=HYPERLINK("https://leilaoonline.net/lote/detalhe/36719", "20251")</f>
      </c>
      <c r="B175" s="4" t="s">
        <f>=HYPERLINK("https://leilaoonline.net/lote/detalhe/36719", " TRATOR VALTRA BH 210L 4X4, ANO 2014, FR50831, UND. COSTA PINTO ")</f>
      </c>
      <c r="C175" s="4" t="inlineStr">
        <is>
          <t>Não vendido</t>
        </is>
      </c>
      <c r="D175" s="4" t="inlineStr">
        <is>
          <t>96</t>
        </is>
      </c>
      <c r="E175" s="5" t="inlineStr">
        <is>
          <t>65.750,00</t>
        </is>
      </c>
      <c r="F175" s="4" t="inlineStr">
        <is>
          <t>250.00</t>
        </is>
      </c>
    </row>
    <row collapsed="false" customFormat="false" customHeight="false" hidden="false" ht="12.1" outlineLevel="0" r="176">
      <c r="A176" s="5" t="s">
        <f>=HYPERLINK("https://leilaoonline.net/lote/detalhe/36718", "20252")</f>
      </c>
      <c r="B176" s="4" t="s">
        <f>=HYPERLINK("https://leilaoonline.net/lote/detalhe/36718", " RETRO, ANO 1993, FR50091, UND. COSTA PINTO ")</f>
      </c>
      <c r="C176" s="4" t="inlineStr">
        <is>
          <t>Vendido</t>
        </is>
      </c>
      <c r="D176" s="4" t="inlineStr">
        <is>
          <t>88</t>
        </is>
      </c>
      <c r="E176" s="5" t="inlineStr">
        <is>
          <t>35.500,00</t>
        </is>
      </c>
      <c r="F176" s="4" t="inlineStr">
        <is>
          <t>250.00</t>
        </is>
      </c>
    </row>
    <row collapsed="false" customFormat="false" customHeight="false" hidden="false" ht="12.1" outlineLevel="0" r="177">
      <c r="A177" s="5" t="s">
        <f>=HYPERLINK("https://leilaoonline.net/lote/detalhe/36720", "20253")</f>
      </c>
      <c r="B177" s="4" t="s">
        <f>=HYPERLINK("https://leilaoonline.net/lote/detalhe/36720", " TRATOR M.F 292,  C/ CARREGADEIRA MOTOCANA, ANO 2011, FR33049, UND. COSTA PINTO")</f>
      </c>
      <c r="C177" s="4" t="inlineStr">
        <is>
          <t>Não vendido</t>
        </is>
      </c>
      <c r="D177" s="4" t="inlineStr">
        <is>
          <t>156</t>
        </is>
      </c>
      <c r="E177" s="5" t="inlineStr">
        <is>
          <t>35.700,00</t>
        </is>
      </c>
      <c r="F177" s="4" t="inlineStr">
        <is>
          <t>150.00</t>
        </is>
      </c>
    </row>
    <row collapsed="false" customFormat="false" customHeight="false" hidden="false" ht="12.1" outlineLevel="0" r="178">
      <c r="A178" s="5" t="s">
        <f>=HYPERLINK("https://leilaoonline.net/lote/detalhe/36740", "20254")</f>
      </c>
      <c r="B178" s="4" t="s">
        <f>=HYPERLINK("https://leilaoonline.net/lote/detalhe/36740", " SUCATA MISTA DE PLASTICOS, S/FR, UND.COSTA PINTO ")</f>
      </c>
      <c r="C178" s="4" t="inlineStr">
        <is>
          <t>Não vendido</t>
        </is>
      </c>
      <c r="D178" s="4" t="inlineStr">
        <is>
          <t>2</t>
        </is>
      </c>
      <c r="E178" s="5" t="inlineStr">
        <is>
          <t>100,00</t>
        </is>
      </c>
      <c r="F178" s="4" t="inlineStr">
        <is>
          <t>50.00</t>
        </is>
      </c>
    </row>
    <row collapsed="false" customFormat="false" customHeight="false" hidden="false" ht="12.1" outlineLevel="0" r="179">
      <c r="A179" s="5" t="s">
        <f>=HYPERLINK("https://leilaoonline.net/lote/detalhe/37495", "21163")</f>
      </c>
      <c r="B179" s="4" t="s">
        <f>=HYPERLINK("https://leilaoonline.net/lote/detalhe/37495", "GERADOR E REDUTOR RENK, S/FR, UND RAFARD")</f>
      </c>
      <c r="C179" s="4" t="inlineStr">
        <is>
          <t>Não vendido</t>
        </is>
      </c>
      <c r="D179" s="4" t="inlineStr">
        <is>
          <t>7</t>
        </is>
      </c>
      <c r="E179" s="5" t="inlineStr">
        <is>
          <t>2.100,00</t>
        </is>
      </c>
      <c r="F179" s="4" t="inlineStr">
        <is>
          <t>150.00</t>
        </is>
      </c>
    </row>
    <row collapsed="false" customFormat="false" customHeight="false" hidden="false" ht="12.1" outlineLevel="0" r="180">
      <c r="A180" s="5" t="s">
        <f>=HYPERLINK("https://leilaoonline.net/lote/detalhe/36730", "21165")</f>
      </c>
      <c r="B180" s="4" t="s">
        <f>=HYPERLINK("https://leilaoonline.net/lote/detalhe/36730", " CAMINHÃO M.BENZ L 2220, ANO 1988, FR 64023, UND. RAFARD ")</f>
      </c>
      <c r="C180" s="4" t="inlineStr">
        <is>
          <t>Vendido</t>
        </is>
      </c>
      <c r="D180" s="4" t="inlineStr">
        <is>
          <t>31</t>
        </is>
      </c>
      <c r="E180" s="5" t="inlineStr">
        <is>
          <t>20.000,00</t>
        </is>
      </c>
      <c r="F180" s="4" t="inlineStr">
        <is>
          <t>250.00</t>
        </is>
      </c>
    </row>
    <row collapsed="false" customFormat="false" customHeight="false" hidden="false" ht="12.1" outlineLevel="0" r="181">
      <c r="A181" s="5" t="s">
        <f>=HYPERLINK("https://leilaoonline.net/lote/detalhe/36741", "21166")</f>
      </c>
      <c r="B181" s="4" t="s">
        <f>=HYPERLINK("https://leilaoonline.net/lote/detalhe/36741", " PRANCHA RANDON SR CT, 2 EIXOS,ANO 2010/2011,  FR 66.184, UND. RAFARD ")</f>
      </c>
      <c r="C181" s="4" t="inlineStr">
        <is>
          <t>Vendido</t>
        </is>
      </c>
      <c r="D181" s="4" t="inlineStr">
        <is>
          <t>116</t>
        </is>
      </c>
      <c r="E181" s="5" t="inlineStr">
        <is>
          <t>56.750,00</t>
        </is>
      </c>
      <c r="F181" s="4" t="inlineStr">
        <is>
          <t>250.00</t>
        </is>
      </c>
    </row>
    <row collapsed="false" customFormat="false" customHeight="false" hidden="false" ht="12.1" outlineLevel="0" r="182">
      <c r="A182" s="5" t="s">
        <f>=HYPERLINK("https://leilaoonline.net/lote/detalhe/36733", "21167")</f>
      </c>
      <c r="B182" s="4" t="s">
        <f>=HYPERLINK("https://leilaoonline.net/lote/detalhe/36733", " ÔNIBUS IMP/M.BENZ OF 1620, ANO 1995/1996, FR 139217, UND.RAFARD")</f>
      </c>
      <c r="C182" s="4" t="inlineStr">
        <is>
          <t>Não vendido</t>
        </is>
      </c>
      <c r="D182" s="4" t="inlineStr">
        <is>
          <t>8</t>
        </is>
      </c>
      <c r="E182" s="5" t="inlineStr">
        <is>
          <t>7.500,00</t>
        </is>
      </c>
      <c r="F182" s="4" t="inlineStr">
        <is>
          <t>150.00</t>
        </is>
      </c>
    </row>
    <row collapsed="false" customFormat="false" customHeight="false" hidden="false" ht="12.1" outlineLevel="0" r="183">
      <c r="A183" s="5" t="s">
        <f>=HYPERLINK("https://leilaoonline.net/lote/detalhe/36731", "21168")</f>
      </c>
      <c r="B183" s="4" t="s">
        <f>=HYPERLINK("https://leilaoonline.net/lote/detalhe/36731", " REBOQUE FACCHINI 8,00M CANA INTEIRA, ANO 2007, FR 173811, UND. RAFARD")</f>
      </c>
      <c r="C183" s="4" t="inlineStr">
        <is>
          <t>Não vendido</t>
        </is>
      </c>
      <c r="D183" s="4" t="inlineStr">
        <is>
          <t>2</t>
        </is>
      </c>
      <c r="E183" s="5" t="inlineStr">
        <is>
          <t>9.000,00</t>
        </is>
      </c>
      <c r="F183" s="4" t="inlineStr">
        <is>
          <t>250.00</t>
        </is>
      </c>
    </row>
    <row collapsed="false" customFormat="false" customHeight="false" hidden="false" ht="12.1" outlineLevel="0" r="184">
      <c r="A184" s="5" t="s">
        <f>=HYPERLINK("https://leilaoonline.net/lote/detalhe/36732", "21169")</f>
      </c>
      <c r="B184" s="4" t="s">
        <f>=HYPERLINK("https://leilaoonline.net/lote/detalhe/36732", " SEMI REBOQUE USICAMP SRCP E2 10000, ANO 2008, FR 56344, UND. RAFARD ")</f>
      </c>
      <c r="C184" s="4" t="inlineStr">
        <is>
          <t>Não vendido</t>
        </is>
      </c>
      <c r="D184" s="4" t="inlineStr">
        <is>
          <t>17</t>
        </is>
      </c>
      <c r="E184" s="5" t="inlineStr">
        <is>
          <t>16.500,00</t>
        </is>
      </c>
      <c r="F184" s="4" t="inlineStr">
        <is>
          <t>250.00</t>
        </is>
      </c>
    </row>
    <row collapsed="false" customFormat="false" customHeight="false" hidden="false" ht="12.1" outlineLevel="0" r="185">
      <c r="A185" s="5" t="s">
        <f>=HYPERLINK("https://leilaoonline.net/lote/detalhe/36737", "21170")</f>
      </c>
      <c r="B185" s="4" t="s">
        <f>=HYPERLINK("https://leilaoonline.net/lote/detalhe/36737", " CAMINHÃO VW. 15-180 EURO3 WORKER COMBOIO, ANO 2010, FR 34093, UND.RAFARD")</f>
      </c>
      <c r="C185" s="4" t="inlineStr">
        <is>
          <t>Vendido</t>
        </is>
      </c>
      <c r="D185" s="4" t="inlineStr">
        <is>
          <t>61</t>
        </is>
      </c>
      <c r="E185" s="5" t="inlineStr">
        <is>
          <t>45.000,00</t>
        </is>
      </c>
      <c r="F185" s="4" t="inlineStr">
        <is>
          <t>250.00</t>
        </is>
      </c>
    </row>
    <row collapsed="false" customFormat="false" customHeight="false" hidden="false" ht="12.1" outlineLevel="0" r="186">
      <c r="A186" s="5" t="s">
        <f>=HYPERLINK("https://leilaoonline.net/lote/detalhe/36841", "22108")</f>
      </c>
      <c r="B186" s="4" t="s">
        <f>=HYPERLINK("https://leilaoonline.net/lote/detalhe/36841", "ESTEIRA DE LONA AÇUCAR, FR 265251, UND. SANTA HELENA ")</f>
      </c>
      <c r="C186" s="4" t="inlineStr">
        <is>
          <t>Não vendido</t>
        </is>
      </c>
      <c r="D186" s="4" t="inlineStr">
        <is>
          <t>0</t>
        </is>
      </c>
      <c r="E186" s="5" t="inlineStr">
        <is>
          <t>1.550,00</t>
        </is>
      </c>
      <c r="F186" s="4" t="inlineStr">
        <is>
          <t>150.00</t>
        </is>
      </c>
    </row>
    <row collapsed="false" customFormat="false" customHeight="false" hidden="false" ht="12.1" outlineLevel="0" r="187">
      <c r="A187" s="5" t="s">
        <f>=HYPERLINK("https://leilaoonline.net/lote/detalhe/37667", "22110")</f>
      </c>
      <c r="B187" s="4" t="s">
        <f>=HYPERLINK("https://leilaoonline.net/lote/detalhe/37667", "DIVERSOS: 1 FORNO, 1 MESA (açougue), 1 FREEZER, 1 GAVETEIRO 2pts e 1 DESCARGADOR, S/FR, UND S. HELENA")</f>
      </c>
      <c r="C187" s="4" t="inlineStr">
        <is>
          <t>Vendido</t>
        </is>
      </c>
      <c r="D187" s="4" t="inlineStr">
        <is>
          <t>2</t>
        </is>
      </c>
      <c r="E187" s="5" t="inlineStr">
        <is>
          <t>400,00</t>
        </is>
      </c>
      <c r="F187" s="4" t="inlineStr">
        <is>
          <t>100.00</t>
        </is>
      </c>
    </row>
    <row collapsed="false" customFormat="false" customHeight="false" hidden="false" ht="12.1" outlineLevel="0" r="188">
      <c r="A188" s="5" t="s">
        <f>=HYPERLINK("https://leilaoonline.net/lote/detalhe/36749", "22112")</f>
      </c>
      <c r="B188" s="4" t="s">
        <f>=HYPERLINK("https://leilaoonline.net/lote/detalhe/36749", " TRATOR VALTRA BH180, 4X4,ANO 2004,  FR 50892,  PNEU PESADO 01- UND. SANTA HELENA ")</f>
      </c>
      <c r="C188" s="4" t="inlineStr">
        <is>
          <t>Vendido</t>
        </is>
      </c>
      <c r="D188" s="4" t="inlineStr">
        <is>
          <t>43</t>
        </is>
      </c>
      <c r="E188" s="5" t="inlineStr">
        <is>
          <t>35.250,00</t>
        </is>
      </c>
      <c r="F188" s="4" t="inlineStr">
        <is>
          <t>250.00</t>
        </is>
      </c>
    </row>
    <row collapsed="false" customFormat="false" customHeight="false" hidden="false" ht="12.1" outlineLevel="0" r="189">
      <c r="A189" s="5" t="s">
        <f>=HYPERLINK("https://leilaoonline.net/lote/detalhe/36748", "22114")</f>
      </c>
      <c r="B189" s="4" t="s">
        <f>=HYPERLINK("https://leilaoonline.net/lote/detalhe/36748", " CAMINHÃO VW/26.220 EURO3 WORKER, ANO 2010, FR 22130, UND. SANTA HELENA ")</f>
      </c>
      <c r="C189" s="4" t="inlineStr">
        <is>
          <t>Vendido</t>
        </is>
      </c>
      <c r="D189" s="4" t="inlineStr">
        <is>
          <t>90</t>
        </is>
      </c>
      <c r="E189" s="5" t="inlineStr">
        <is>
          <t>74.500,00</t>
        </is>
      </c>
      <c r="F189" s="4" t="inlineStr">
        <is>
          <t>250.00</t>
        </is>
      </c>
    </row>
    <row collapsed="false" customFormat="false" customHeight="false" hidden="false" ht="12.1" outlineLevel="0" r="190">
      <c r="A190" s="5" t="s">
        <f>=HYPERLINK("https://leilaoonline.net/lote/detalhe/36746", "22116")</f>
      </c>
      <c r="B190" s="4" t="s">
        <f>=HYPERLINK("https://leilaoonline.net/lote/detalhe/36746", " REBOQUE RANDON RQ CA , ANO 2010, FR 56812, UND. SANTA HELENA ")</f>
      </c>
      <c r="C190" s="4" t="inlineStr">
        <is>
          <t>Não vendido</t>
        </is>
      </c>
      <c r="D190" s="4" t="inlineStr">
        <is>
          <t>37</t>
        </is>
      </c>
      <c r="E190" s="5" t="inlineStr">
        <is>
          <t>22.000,00</t>
        </is>
      </c>
      <c r="F190" s="4" t="inlineStr">
        <is>
          <t>250.00</t>
        </is>
      </c>
    </row>
    <row collapsed="false" customFormat="false" customHeight="false" hidden="false" ht="12.1" outlineLevel="0" r="191">
      <c r="A191" s="5" t="s">
        <f>=HYPERLINK("https://leilaoonline.net/lote/detalhe/36743", "22117")</f>
      </c>
      <c r="B191" s="4" t="s">
        <f>=HYPERLINK("https://leilaoonline.net/lote/detalhe/36743", " TERRACEADOR, FR 139896, UND. SANTA HELENA ")</f>
      </c>
      <c r="C191" s="4" t="inlineStr">
        <is>
          <t>Vendido</t>
        </is>
      </c>
      <c r="D191" s="4" t="inlineStr">
        <is>
          <t>31</t>
        </is>
      </c>
      <c r="E191" s="5" t="inlineStr">
        <is>
          <t>6.500,00</t>
        </is>
      </c>
      <c r="F191" s="4" t="inlineStr">
        <is>
          <t>150.00</t>
        </is>
      </c>
    </row>
    <row collapsed="false" customFormat="false" customHeight="false" hidden="false" ht="12.1" outlineLevel="0" r="192">
      <c r="A192" s="5" t="s">
        <f>=HYPERLINK("https://leilaoonline.net/lote/detalhe/36745", "22118")</f>
      </c>
      <c r="B192" s="4" t="s">
        <f>=HYPERLINK("https://leilaoonline.net/lote/detalhe/36745", " CARRETA TAQUE  PQN, FR 25444, UND.SANTA HELENA ")</f>
      </c>
      <c r="C192" s="4" t="inlineStr">
        <is>
          <t>Não vendido</t>
        </is>
      </c>
      <c r="D192" s="4" t="inlineStr">
        <is>
          <t>5</t>
        </is>
      </c>
      <c r="E192" s="5" t="inlineStr">
        <is>
          <t>1.850,00</t>
        </is>
      </c>
      <c r="F192" s="4" t="inlineStr">
        <is>
          <t>150.00</t>
        </is>
      </c>
    </row>
    <row collapsed="false" customFormat="false" customHeight="false" hidden="false" ht="12.1" outlineLevel="0" r="193">
      <c r="A193" s="5" t="s">
        <f>=HYPERLINK("https://leilaoonline.net/lote/detalhe/36747", "22119")</f>
      </c>
      <c r="B193" s="4" t="s">
        <f>=HYPERLINK("https://leilaoonline.net/lote/detalhe/36747", " DOLLY , FR 56940, UND. SANTA HELENA (SEM DOCUMENTO)")</f>
      </c>
      <c r="C193" s="4" t="inlineStr">
        <is>
          <t>Não vendido</t>
        </is>
      </c>
      <c r="D193" s="4" t="inlineStr">
        <is>
          <t>21</t>
        </is>
      </c>
      <c r="E193" s="5" t="inlineStr">
        <is>
          <t>6.050,00</t>
        </is>
      </c>
      <c r="F193" s="4" t="inlineStr">
        <is>
          <t>150.00</t>
        </is>
      </c>
    </row>
    <row collapsed="false" customFormat="false" customHeight="false" hidden="false" ht="12.1" outlineLevel="0" r="194">
      <c r="A194" s="5" t="s">
        <f>=HYPERLINK("https://leilaoonline.net/lote/detalhe/36738", "22120")</f>
      </c>
      <c r="B194" s="4" t="s">
        <f>=HYPERLINK("https://leilaoonline.net/lote/detalhe/36738", " CAMINHÃO VW/15-180 EURO3 WORKER, ANO 2010, FR 139382, UND. SANTA HELENA ")</f>
      </c>
      <c r="C194" s="4" t="inlineStr">
        <is>
          <t>Vendido</t>
        </is>
      </c>
      <c r="D194" s="4" t="inlineStr">
        <is>
          <t>63</t>
        </is>
      </c>
      <c r="E194" s="5" t="inlineStr">
        <is>
          <t>43.250,00</t>
        </is>
      </c>
      <c r="F194" s="4" t="inlineStr">
        <is>
          <t>250.00</t>
        </is>
      </c>
    </row>
    <row collapsed="false" customFormat="false" customHeight="false" hidden="false" ht="12.1" outlineLevel="0" r="195">
      <c r="A195" s="5" t="s">
        <f>=HYPERLINK("https://leilaoonline.net/lote/detalhe/36751", "22122")</f>
      </c>
      <c r="B195" s="4" t="s">
        <f>=HYPERLINK("https://leilaoonline.net/lote/detalhe/36751", " CARROCERIA TANQUE COMBATE INCENDIO COR CINZA, FR 57506, UND. SANTA HELENA ")</f>
      </c>
      <c r="C195" s="4" t="inlineStr">
        <is>
          <t>Não vendido</t>
        </is>
      </c>
      <c r="D195" s="4" t="inlineStr">
        <is>
          <t>20</t>
        </is>
      </c>
      <c r="E195" s="5" t="inlineStr">
        <is>
          <t>5.100,00</t>
        </is>
      </c>
      <c r="F195" s="4" t="inlineStr">
        <is>
          <t>150.00</t>
        </is>
      </c>
    </row>
    <row collapsed="false" customFormat="false" customHeight="false" hidden="false" ht="12.1" outlineLevel="0" r="196">
      <c r="A196" s="5" t="s">
        <f>=HYPERLINK("https://leilaoonline.net/lote/detalhe/36734", "22123")</f>
      </c>
      <c r="B196" s="4" t="s">
        <f>=HYPERLINK("https://leilaoonline.net/lote/detalhe/36734", " TRANSBORDO SERMAG 08 T 51 2000, FR10129, UND. SANTA HELENA ")</f>
      </c>
      <c r="C196" s="4" t="inlineStr">
        <is>
          <t>Não vendido</t>
        </is>
      </c>
      <c r="D196" s="4" t="inlineStr">
        <is>
          <t>0</t>
        </is>
      </c>
      <c r="E196" s="5" t="inlineStr">
        <is>
          <t>2.250,00</t>
        </is>
      </c>
      <c r="F196" s="4" t="inlineStr">
        <is>
          <t>150.00</t>
        </is>
      </c>
    </row>
    <row collapsed="false" customFormat="false" customHeight="false" hidden="false" ht="12.1" outlineLevel="0" r="197">
      <c r="A197" s="5" t="s">
        <f>=HYPERLINK("https://leilaoonline.net/lote/detalhe/36742", "22124")</f>
      </c>
      <c r="B197" s="4" t="s">
        <f>=HYPERLINK("https://leilaoonline.net/lote/detalhe/36742", " TRANSBORBO ATA 12000 12T, FR22734, UND. SANTA HELENA ")</f>
      </c>
      <c r="C197" s="4" t="inlineStr">
        <is>
          <t>Não vendido</t>
        </is>
      </c>
      <c r="D197" s="4" t="inlineStr">
        <is>
          <t>1</t>
        </is>
      </c>
      <c r="E197" s="5" t="inlineStr">
        <is>
          <t>2.250,00</t>
        </is>
      </c>
      <c r="F197" s="4" t="inlineStr">
        <is>
          <t>150.00</t>
        </is>
      </c>
    </row>
    <row collapsed="false" customFormat="false" customHeight="false" hidden="false" ht="12.1" outlineLevel="0" r="198">
      <c r="A198" s="5" t="s">
        <f>=HYPERLINK("https://leilaoonline.net/lote/detalhe/36744", "22126")</f>
      </c>
      <c r="B198" s="4" t="s">
        <f>=HYPERLINK("https://leilaoonline.net/lote/detalhe/36744", " CAMINHÃO VW/26.220 EURO3 WORKER ANO 2007, FR 34083, UND. SANTA HELENA ")</f>
      </c>
      <c r="C198" s="4" t="inlineStr">
        <is>
          <t>Vendido</t>
        </is>
      </c>
      <c r="D198" s="4" t="inlineStr">
        <is>
          <t>21</t>
        </is>
      </c>
      <c r="E198" s="5" t="inlineStr">
        <is>
          <t>24.000,00</t>
        </is>
      </c>
      <c r="F198" s="4" t="inlineStr">
        <is>
          <t>250.00</t>
        </is>
      </c>
    </row>
    <row collapsed="false" customFormat="false" customHeight="false" hidden="false" ht="12.1" outlineLevel="0" r="199">
      <c r="A199" s="5" t="s">
        <f>=HYPERLINK("https://leilaoonline.net/lote/detalhe/36863", "22127")</f>
      </c>
      <c r="B199" s="4" t="s">
        <f>=HYPERLINK("https://leilaoonline.net/lote/detalhe/36863", "CARRETINHA DE SERVIÇOS DIVERSOS VERMELHA,  SFR, UND. SANTA HELENA ")</f>
      </c>
      <c r="C199" s="4" t="inlineStr">
        <is>
          <t>Vendido</t>
        </is>
      </c>
      <c r="D199" s="4" t="inlineStr">
        <is>
          <t>4</t>
        </is>
      </c>
      <c r="E199" s="5" t="inlineStr">
        <is>
          <t>1.000,00</t>
        </is>
      </c>
      <c r="F199" s="4" t="inlineStr">
        <is>
          <t>150.00</t>
        </is>
      </c>
    </row>
    <row collapsed="false" customFormat="false" customHeight="false" hidden="false" ht="12.1" outlineLevel="0" r="200">
      <c r="A200" s="5" t="s">
        <f>=HYPERLINK("https://leilaoonline.net/lote/detalhe/36864", "22128")</f>
      </c>
      <c r="B200" s="4" t="s">
        <f>=HYPERLINK("https://leilaoonline.net/lote/detalhe/36864", "GRADE NIVELADORA, FR 25003, UND. SANTA HELENA ")</f>
      </c>
      <c r="C200" s="4" t="inlineStr">
        <is>
          <t>Vendido</t>
        </is>
      </c>
      <c r="D200" s="4" t="inlineStr">
        <is>
          <t>59</t>
        </is>
      </c>
      <c r="E200" s="5" t="inlineStr">
        <is>
          <t>10.000,00</t>
        </is>
      </c>
      <c r="F200" s="4" t="inlineStr">
        <is>
          <t>150.00</t>
        </is>
      </c>
    </row>
    <row collapsed="false" customFormat="false" customHeight="false" hidden="false" ht="12.1" outlineLevel="0" r="201">
      <c r="A201" s="5" t="s">
        <f>=HYPERLINK("https://leilaoonline.net/lote/detalhe/36892", "22129")</f>
      </c>
      <c r="B201" s="4" t="s">
        <f>=HYPERLINK("https://leilaoonline.net/lote/detalhe/36892", "ROLO COMPACTADOR, FR 57117, UND. SANTA HELENA ")</f>
      </c>
      <c r="C201" s="4" t="inlineStr">
        <is>
          <t>Vendido</t>
        </is>
      </c>
      <c r="D201" s="4" t="inlineStr">
        <is>
          <t>9</t>
        </is>
      </c>
      <c r="E201" s="5" t="inlineStr">
        <is>
          <t>1.750,00</t>
        </is>
      </c>
      <c r="F201" s="4" t="inlineStr">
        <is>
          <t>150.00</t>
        </is>
      </c>
    </row>
    <row collapsed="false" customFormat="false" customHeight="false" hidden="false" ht="12.1" outlineLevel="0" r="202">
      <c r="A202" s="5" t="s">
        <f>=HYPERLINK("https://leilaoonline.net/lote/detalhe/36854", "23041")</f>
      </c>
      <c r="B202" s="4" t="s">
        <f>=HYPERLINK("https://leilaoonline.net/lote/detalhe/36854", "3 POSTOS DE ILUMINAÇÃO METÁLICOS , SF, UND. SÃO FRANCISCO ")</f>
      </c>
      <c r="C202" s="4" t="inlineStr">
        <is>
          <t>Vendido</t>
        </is>
      </c>
      <c r="D202" s="4" t="inlineStr">
        <is>
          <t>2</t>
        </is>
      </c>
      <c r="E202" s="5" t="inlineStr">
        <is>
          <t>150,00</t>
        </is>
      </c>
      <c r="F202" s="4" t="inlineStr">
        <is>
          <t>50.00</t>
        </is>
      </c>
    </row>
    <row collapsed="false" customFormat="false" customHeight="false" hidden="false" ht="12.1" outlineLevel="0" r="203">
      <c r="A203" s="5" t="s">
        <f>=HYPERLINK("https://leilaoonline.net/lote/detalhe/37489", "23042")</f>
      </c>
      <c r="B203" s="4" t="s">
        <f>=HYPERLINK("https://leilaoonline.net/lote/detalhe/37489", "EQUIPAMENTOS E PEÇAS DIVERSAS, PISTÕES, MAQ. SOLDA........S/FR, UND S. FRANCISCO -  (veja abaixo)")</f>
      </c>
      <c r="C203" s="4" t="inlineStr">
        <is>
          <t>Vendido</t>
        </is>
      </c>
      <c r="D203" s="4" t="inlineStr">
        <is>
          <t>25</t>
        </is>
      </c>
      <c r="E203" s="5" t="inlineStr">
        <is>
          <t>4.350,00</t>
        </is>
      </c>
      <c r="F203" s="4" t="inlineStr">
        <is>
          <t>150.00</t>
        </is>
      </c>
    </row>
    <row collapsed="false" customFormat="false" customHeight="false" hidden="false" ht="12.1" outlineLevel="0" r="204">
      <c r="A204" s="5" t="s">
        <f>=HYPERLINK("https://leilaoonline.net/lote/detalhe/37490", "23043")</f>
      </c>
      <c r="B204" s="4" t="s">
        <f>=HYPERLINK("https://leilaoonline.net/lote/detalhe/37490", "9 PNEUS AGRÍCOLAS USADOS, S/FR, UND S. FRANCISCO (veja abaixo)")</f>
      </c>
      <c r="C204" s="4" t="inlineStr">
        <is>
          <t>Vendido</t>
        </is>
      </c>
      <c r="D204" s="4" t="inlineStr">
        <is>
          <t>5</t>
        </is>
      </c>
      <c r="E204" s="5" t="inlineStr">
        <is>
          <t>900,00</t>
        </is>
      </c>
      <c r="F204" s="4" t="inlineStr">
        <is>
          <t>100.00</t>
        </is>
      </c>
    </row>
    <row collapsed="false" customFormat="false" customHeight="false" hidden="false" ht="12.1" outlineLevel="0" r="205">
      <c r="A205" s="5" t="s">
        <f>=HYPERLINK("https://leilaoonline.net/lote/detalhe/37491", "24105")</f>
      </c>
      <c r="B205" s="4" t="s">
        <f>=HYPERLINK("https://leilaoonline.net/lote/detalhe/37491", " TRATOR VALTRA 205I 4X4 HIFLOW, ANO 2011, FR163455, UND BOM RETIRO")</f>
      </c>
      <c r="C205" s="4" t="inlineStr">
        <is>
          <t>Não vendido</t>
        </is>
      </c>
      <c r="D205" s="4" t="inlineStr">
        <is>
          <t>42</t>
        </is>
      </c>
      <c r="E205" s="5" t="inlineStr">
        <is>
          <t>35.000,00</t>
        </is>
      </c>
      <c r="F205" s="4" t="inlineStr">
        <is>
          <t>250.00</t>
        </is>
      </c>
    </row>
    <row collapsed="false" customFormat="false" customHeight="false" hidden="false" ht="12.1" outlineLevel="0" r="206">
      <c r="A206" s="5" t="s">
        <f>=HYPERLINK("https://leilaoonline.net/lote/detalhe/36681", "24122")</f>
      </c>
      <c r="B206" s="4" t="s">
        <f>=HYPERLINK("https://leilaoonline.net/lote/detalhe/36681", " REBOQUE ANTONINI 7,60M, ANO 1992, FR 66034, UND. BOM RETIRO ")</f>
      </c>
      <c r="C206" s="4" t="inlineStr">
        <is>
          <t>Não vendido</t>
        </is>
      </c>
      <c r="D206" s="4" t="inlineStr">
        <is>
          <t>0</t>
        </is>
      </c>
      <c r="E206" s="5" t="inlineStr">
        <is>
          <t>7.250,00</t>
        </is>
      </c>
      <c r="F206" s="4" t="inlineStr">
        <is>
          <t>250.00</t>
        </is>
      </c>
    </row>
    <row collapsed="false" customFormat="false" customHeight="false" hidden="false" ht="12.1" outlineLevel="0" r="207">
      <c r="A207" s="5" t="s">
        <f>=HYPERLINK("https://leilaoonline.net/lote/detalhe/36706", "24123")</f>
      </c>
      <c r="B207" s="4" t="s">
        <f>=HYPERLINK("https://leilaoonline.net/lote/detalhe/36706", " REBOQUE ANTONINI 7,60 M, ANO 1992, FR 66051, UND. BOM RETIRO - CHASSI REMARCADO")</f>
      </c>
      <c r="C207" s="4" t="inlineStr">
        <is>
          <t>Não vendido</t>
        </is>
      </c>
      <c r="D207" s="4" t="inlineStr">
        <is>
          <t>0</t>
        </is>
      </c>
      <c r="E207" s="5" t="inlineStr">
        <is>
          <t>7.250,00</t>
        </is>
      </c>
      <c r="F207" s="4" t="inlineStr">
        <is>
          <t>250.00</t>
        </is>
      </c>
    </row>
    <row collapsed="false" customFormat="false" customHeight="false" hidden="false" ht="12.1" outlineLevel="0" r="208">
      <c r="A208" s="5" t="s">
        <f>=HYPERLINK("https://leilaoonline.net/lote/detalhe/36705", "24124")</f>
      </c>
      <c r="B208" s="4" t="s">
        <f>=HYPERLINK("https://leilaoonline.net/lote/detalhe/36705", " REBOQUE ANTONINI, ANO 1993, FR 36038, UND.BOM RETIRO ")</f>
      </c>
      <c r="C208" s="4" t="inlineStr">
        <is>
          <t>Não vendido</t>
        </is>
      </c>
      <c r="D208" s="4" t="inlineStr">
        <is>
          <t>0</t>
        </is>
      </c>
      <c r="E208" s="5" t="inlineStr">
        <is>
          <t>7.250,00</t>
        </is>
      </c>
      <c r="F208" s="4" t="inlineStr">
        <is>
          <t>250.00</t>
        </is>
      </c>
    </row>
    <row collapsed="false" customFormat="false" customHeight="false" hidden="false" ht="12.1" outlineLevel="0" r="209">
      <c r="A209" s="5" t="s">
        <f>=HYPERLINK("https://leilaoonline.net/lote/detalhe/36700", "24125")</f>
      </c>
      <c r="B209" s="4" t="s">
        <f>=HYPERLINK("https://leilaoonline.net/lote/detalhe/36700", " REBOQUE ANTONINI 7,60M, ANO 1992, FR 66043, UND. BOM RETIRO (CHASSI REMARCADO)")</f>
      </c>
      <c r="C209" s="4" t="inlineStr">
        <is>
          <t>Não vendido</t>
        </is>
      </c>
      <c r="D209" s="4" t="inlineStr">
        <is>
          <t>0</t>
        </is>
      </c>
      <c r="E209" s="5" t="inlineStr">
        <is>
          <t>7.250,00</t>
        </is>
      </c>
      <c r="F209" s="4" t="inlineStr">
        <is>
          <t>250.00</t>
        </is>
      </c>
    </row>
    <row collapsed="false" customFormat="false" customHeight="false" hidden="false" ht="12.1" outlineLevel="0" r="210">
      <c r="A210" s="5" t="s">
        <f>=HYPERLINK("https://leilaoonline.net/lote/detalhe/36676", "24126")</f>
      </c>
      <c r="B210" s="4" t="s">
        <f>=HYPERLINK("https://leilaoonline.net/lote/detalhe/36676", " REBOQUE ANTONINI, ANO 1993, FR36041, UND. BOM RETIRO CHASSI REMARCADO")</f>
      </c>
      <c r="C210" s="4" t="inlineStr">
        <is>
          <t>Não vendido</t>
        </is>
      </c>
      <c r="D210" s="4" t="inlineStr">
        <is>
          <t>0</t>
        </is>
      </c>
      <c r="E210" s="5" t="inlineStr">
        <is>
          <t>7.250,00</t>
        </is>
      </c>
      <c r="F210" s="4" t="inlineStr">
        <is>
          <t>250.00</t>
        </is>
      </c>
    </row>
    <row collapsed="false" customFormat="false" customHeight="false" hidden="false" ht="12.1" outlineLevel="0" r="211">
      <c r="A211" s="5" t="s">
        <f>=HYPERLINK("https://leilaoonline.net/lote/detalhe/36694", "24150")</f>
      </c>
      <c r="B211" s="4" t="s">
        <f>=HYPERLINK("https://leilaoonline.net/lote/detalhe/36694", " TRATOR VALTRA 2051 4X4 HIFLOW, FR163446, UND. BOM RETIRO ")</f>
      </c>
      <c r="C211" s="4" t="inlineStr">
        <is>
          <t>Não vendido</t>
        </is>
      </c>
      <c r="D211" s="4" t="inlineStr">
        <is>
          <t>74</t>
        </is>
      </c>
      <c r="E211" s="5" t="inlineStr">
        <is>
          <t>48.500,00</t>
        </is>
      </c>
      <c r="F211" s="4" t="inlineStr">
        <is>
          <t>250.00</t>
        </is>
      </c>
    </row>
    <row collapsed="false" customFormat="false" customHeight="false" hidden="false" ht="12.1" outlineLevel="0" r="212">
      <c r="A212" s="5" t="s">
        <f>=HYPERLINK("https://leilaoonline.net/lote/detalhe/36852", "24169")</f>
      </c>
      <c r="B212" s="4" t="s">
        <f>=HYPERLINK("https://leilaoonline.net/lote/detalhe/36852", "TERRACEADOR, ANO 2008, FR 165242, UND. BOM RETIRO ")</f>
      </c>
      <c r="C212" s="4" t="inlineStr">
        <is>
          <t>Não vendido</t>
        </is>
      </c>
      <c r="D212" s="4" t="inlineStr">
        <is>
          <t>11</t>
        </is>
      </c>
      <c r="E212" s="5" t="inlineStr">
        <is>
          <t>2.800,00</t>
        </is>
      </c>
      <c r="F212" s="4" t="inlineStr">
        <is>
          <t>150.00</t>
        </is>
      </c>
    </row>
    <row collapsed="false" customFormat="false" customHeight="false" hidden="false" ht="12.1" outlineLevel="0" r="213">
      <c r="A213" s="5" t="s">
        <f>=HYPERLINK("https://leilaoonline.net/lote/detalhe/36689", "24230")</f>
      </c>
      <c r="B213" s="4" t="s">
        <f>=HYPERLINK("https://leilaoonline.net/lote/detalhe/36689", " CAMINHÃO M.BENZ/AXOR 3344 6X4 C. PICADA, ANO 2013,FR10627, UND BOM RETIRO ")</f>
      </c>
      <c r="C213" s="4" t="inlineStr">
        <is>
          <t>Não vendido</t>
        </is>
      </c>
      <c r="D213" s="4" t="inlineStr">
        <is>
          <t>102</t>
        </is>
      </c>
      <c r="E213" s="5" t="inlineStr">
        <is>
          <t>139.500,00</t>
        </is>
      </c>
      <c r="F213" s="4" t="inlineStr">
        <is>
          <t>500.00</t>
        </is>
      </c>
    </row>
    <row collapsed="false" customFormat="false" customHeight="false" hidden="false" ht="12.1" outlineLevel="0" r="214">
      <c r="A214" s="5" t="s">
        <f>=HYPERLINK("https://leilaoonline.net/lote/detalhe/36675", "24231")</f>
      </c>
      <c r="B214" s="4" t="s">
        <f>=HYPERLINK("https://leilaoonline.net/lote/detalhe/36675", " TRATOR VALTRA 2051 4X4 HIFLOW, ANO 2011, FR163453, UND. BOM RETIRO ")</f>
      </c>
      <c r="C214" s="4" t="inlineStr">
        <is>
          <t>Vendido</t>
        </is>
      </c>
      <c r="D214" s="4" t="inlineStr">
        <is>
          <t>123</t>
        </is>
      </c>
      <c r="E214" s="5" t="inlineStr">
        <is>
          <t>65.000,00</t>
        </is>
      </c>
      <c r="F214" s="4" t="inlineStr">
        <is>
          <t>250.00</t>
        </is>
      </c>
    </row>
    <row collapsed="false" customFormat="false" customHeight="false" hidden="false" ht="12.1" outlineLevel="0" r="215">
      <c r="A215" s="5" t="s">
        <f>=HYPERLINK("https://leilaoonline.net/lote/detalhe/36677", "24233")</f>
      </c>
      <c r="B215" s="4" t="s">
        <f>=HYPERLINK("https://leilaoonline.net/lote/detalhe/36677", " IMPLEMENTO ARADO, FR 25002, UND. BOM RETIRO ")</f>
      </c>
      <c r="C215" s="4" t="inlineStr">
        <is>
          <t>Vendido</t>
        </is>
      </c>
      <c r="D215" s="4" t="inlineStr">
        <is>
          <t>11</t>
        </is>
      </c>
      <c r="E215" s="5" t="inlineStr">
        <is>
          <t>3.500,00</t>
        </is>
      </c>
      <c r="F215" s="4" t="inlineStr">
        <is>
          <t>150.00</t>
        </is>
      </c>
    </row>
    <row collapsed="false" customFormat="false" customHeight="false" hidden="false" ht="12.1" outlineLevel="0" r="216">
      <c r="A216" s="5" t="s">
        <f>=HYPERLINK("https://leilaoonline.net/lote/detalhe/36687", "24234")</f>
      </c>
      <c r="B216" s="4" t="s">
        <f>=HYPERLINK("https://leilaoonline.net/lote/detalhe/36687", " TRITURADOR DE PALHA TRITON, FR 139927, UND. BOM RETIRO ")</f>
      </c>
      <c r="C216" s="4" t="inlineStr">
        <is>
          <t>Não vendido</t>
        </is>
      </c>
      <c r="D216" s="4" t="inlineStr">
        <is>
          <t>24</t>
        </is>
      </c>
      <c r="E216" s="5" t="inlineStr">
        <is>
          <t>4.850,00</t>
        </is>
      </c>
      <c r="F216" s="4" t="inlineStr">
        <is>
          <t>150.00</t>
        </is>
      </c>
    </row>
    <row collapsed="false" customFormat="false" customHeight="false" hidden="false" ht="12.1" outlineLevel="0" r="217">
      <c r="A217" s="5" t="s">
        <f>=HYPERLINK("https://leilaoonline.net/lote/detalhe/36680", "24235")</f>
      </c>
      <c r="B217" s="4" t="s">
        <f>=HYPERLINK("https://leilaoonline.net/lote/detalhe/36680", " IMPLEMENTO TRITURADOR DE PALHA, FR 25273, UND. BOM RETIRO ")</f>
      </c>
      <c r="C217" s="4" t="inlineStr">
        <is>
          <t>Não vendido</t>
        </is>
      </c>
      <c r="D217" s="4" t="inlineStr">
        <is>
          <t>12</t>
        </is>
      </c>
      <c r="E217" s="5" t="inlineStr">
        <is>
          <t>2.000,00</t>
        </is>
      </c>
      <c r="F217" s="4" t="inlineStr">
        <is>
          <t>150.00</t>
        </is>
      </c>
    </row>
    <row collapsed="false" customFormat="false" customHeight="false" hidden="false" ht="12.1" outlineLevel="0" r="218">
      <c r="A218" s="5" t="s">
        <f>=HYPERLINK("https://leilaoonline.net/lote/detalhe/36698", "24236")</f>
      </c>
      <c r="B218" s="4" t="s">
        <f>=HYPERLINK("https://leilaoonline.net/lote/detalhe/36698", " ENLEIRADEIRA, FR 67179, UND. BOM RETIRO ")</f>
      </c>
      <c r="C218" s="4" t="inlineStr">
        <is>
          <t>Não vendido</t>
        </is>
      </c>
      <c r="D218" s="4" t="inlineStr">
        <is>
          <t>1</t>
        </is>
      </c>
      <c r="E218" s="5" t="inlineStr">
        <is>
          <t>200,00</t>
        </is>
      </c>
      <c r="F218" s="4" t="inlineStr">
        <is>
          <t>50.00</t>
        </is>
      </c>
    </row>
    <row collapsed="false" customFormat="false" customHeight="false" hidden="false" ht="12.1" outlineLevel="0" r="219">
      <c r="A219" s="5" t="s">
        <f>=HYPERLINK("https://leilaoonline.net/lote/detalhe/36707", "24237")</f>
      </c>
      <c r="B219" s="4" t="s">
        <f>=HYPERLINK("https://leilaoonline.net/lote/detalhe/36707", " TRATOR VALTRA, BH 210L 4X4 COM IMPLEMENTO, ANO 2014, FR50830, UND BOM RETIRO ")</f>
      </c>
      <c r="C219" s="4" t="inlineStr">
        <is>
          <t>Não vendido</t>
        </is>
      </c>
      <c r="D219" s="4" t="inlineStr">
        <is>
          <t>100</t>
        </is>
      </c>
      <c r="E219" s="5" t="inlineStr">
        <is>
          <t>66.250,00</t>
        </is>
      </c>
      <c r="F219" s="4" t="inlineStr">
        <is>
          <t>250.00</t>
        </is>
      </c>
    </row>
    <row collapsed="false" customFormat="false" customHeight="false" hidden="false" ht="12.1" outlineLevel="0" r="220">
      <c r="A220" s="5" t="s">
        <f>=HYPERLINK("https://leilaoonline.net/lote/detalhe/36697", "24238")</f>
      </c>
      <c r="B220" s="4" t="s">
        <f>=HYPERLINK("https://leilaoonline.net/lote/detalhe/36697", " TRATOR MASSEY F. 6360 4X4, ANO 2008, FR163414, UND. BOM RETIRO ")</f>
      </c>
      <c r="C220" s="4" t="inlineStr">
        <is>
          <t>Vendido</t>
        </is>
      </c>
      <c r="D220" s="4" t="inlineStr">
        <is>
          <t>49</t>
        </is>
      </c>
      <c r="E220" s="5" t="inlineStr">
        <is>
          <t>38.750,00</t>
        </is>
      </c>
      <c r="F220" s="4" t="inlineStr">
        <is>
          <t>250.00</t>
        </is>
      </c>
    </row>
    <row collapsed="false" customFormat="false" customHeight="false" hidden="false" ht="12.1" outlineLevel="0" r="221">
      <c r="A221" s="5" t="s">
        <f>=HYPERLINK("https://leilaoonline.net/lote/detalhe/36691", "24239")</f>
      </c>
      <c r="B221" s="4" t="s">
        <f>=HYPERLINK("https://leilaoonline.net/lote/detalhe/36691", " CAMINHÃO SCANIA P124CB6X4NZ 420, ANO 2000/2001, FR 52881, UND. BOM RETIRO ")</f>
      </c>
      <c r="C221" s="4" t="inlineStr">
        <is>
          <t>Não vendido</t>
        </is>
      </c>
      <c r="D221" s="4" t="inlineStr">
        <is>
          <t>26</t>
        </is>
      </c>
      <c r="E221" s="5" t="inlineStr">
        <is>
          <t>46.500,00</t>
        </is>
      </c>
      <c r="F221" s="4" t="inlineStr">
        <is>
          <t>250.00</t>
        </is>
      </c>
    </row>
    <row collapsed="false" customFormat="false" customHeight="false" hidden="false" ht="12.1" outlineLevel="0" r="222">
      <c r="A222" s="5" t="s">
        <f>=HYPERLINK("https://leilaoonline.net/lote/detalhe/36683", "24240")</f>
      </c>
      <c r="B222" s="4" t="s">
        <f>=HYPERLINK("https://leilaoonline.net/lote/detalhe/36683", "VW. GOL SPECIAL, ANO 2001, ALCOOL, FR 86914, UND. BOM RETIRO ")</f>
      </c>
      <c r="C222" s="4" t="inlineStr">
        <is>
          <t>Não vendido</t>
        </is>
      </c>
      <c r="D222" s="4" t="inlineStr">
        <is>
          <t>5</t>
        </is>
      </c>
      <c r="E222" s="5" t="inlineStr">
        <is>
          <t>1.850,00</t>
        </is>
      </c>
      <c r="F222" s="4" t="inlineStr">
        <is>
          <t>150.00</t>
        </is>
      </c>
    </row>
    <row collapsed="false" customFormat="false" customHeight="false" hidden="false" ht="12.1" outlineLevel="0" r="223">
      <c r="A223" s="5" t="s">
        <f>=HYPERLINK("https://leilaoonline.net/lote/detalhe/36709", "24245")</f>
      </c>
      <c r="B223" s="4" t="s">
        <f>=HYPERLINK("https://leilaoonline.net/lote/detalhe/36709", " CARRETA ESPARRAMADORA CALCAREO SOLLUS, FR 25308, UND. BOM RETIRO ")</f>
      </c>
      <c r="C223" s="4" t="inlineStr">
        <is>
          <t>Não vendido</t>
        </is>
      </c>
      <c r="D223" s="4" t="inlineStr">
        <is>
          <t>1</t>
        </is>
      </c>
      <c r="E223" s="5" t="inlineStr">
        <is>
          <t>1.550,00</t>
        </is>
      </c>
      <c r="F223" s="4" t="inlineStr">
        <is>
          <t>150.00</t>
        </is>
      </c>
    </row>
    <row collapsed="false" customFormat="false" customHeight="false" hidden="false" ht="12.1" outlineLevel="0" r="224">
      <c r="A224" s="5" t="s">
        <f>=HYPERLINK("https://leilaoonline.net/lote/detalhe/36679", "24246")</f>
      </c>
      <c r="B224" s="4" t="s">
        <f>=HYPERLINK("https://leilaoonline.net/lote/detalhe/36679", " TRATOR VALTRA 2051 4X4 HIFLOW, ANO 2008, FR163435, UND. BOM RETIRO ")</f>
      </c>
      <c r="C224" s="4" t="inlineStr">
        <is>
          <t>Vendido</t>
        </is>
      </c>
      <c r="D224" s="4" t="inlineStr">
        <is>
          <t>135</t>
        </is>
      </c>
      <c r="E224" s="5" t="inlineStr">
        <is>
          <t>45.500,00</t>
        </is>
      </c>
      <c r="F224" s="4" t="inlineStr">
        <is>
          <t>250.00</t>
        </is>
      </c>
    </row>
    <row collapsed="false" customFormat="false" customHeight="false" hidden="false" ht="12.1" outlineLevel="0" r="225">
      <c r="A225" s="5" t="s">
        <f>=HYPERLINK("https://leilaoonline.net/lote/detalhe/36699", "24247")</f>
      </c>
      <c r="B225" s="4" t="s">
        <f>=HYPERLINK("https://leilaoonline.net/lote/detalhe/36699", " TRATOR , ANO 2008 MOD. 2051 4X4,HIFLOW FR 163437, UND. BOM RETIRO ")</f>
      </c>
      <c r="C225" s="4" t="inlineStr">
        <is>
          <t>Vendido</t>
        </is>
      </c>
      <c r="D225" s="4" t="inlineStr">
        <is>
          <t>140</t>
        </is>
      </c>
      <c r="E225" s="5" t="inlineStr">
        <is>
          <t>45.000,00</t>
        </is>
      </c>
      <c r="F225" s="4" t="inlineStr">
        <is>
          <t>250.00</t>
        </is>
      </c>
    </row>
    <row collapsed="false" customFormat="false" customHeight="false" hidden="false" ht="12.1" outlineLevel="0" r="226">
      <c r="A226" s="5" t="s">
        <f>=HYPERLINK("https://leilaoonline.net/lote/detalhe/36708", "24250")</f>
      </c>
      <c r="B226" s="4" t="s">
        <f>=HYPERLINK("https://leilaoonline.net/lote/detalhe/36708", " CAMINHÃO VW/BMB 31320 CNC CM, ANO 2010, FR 58632, UND. BOM RETIRO ")</f>
      </c>
      <c r="C226" s="4" t="inlineStr">
        <is>
          <t>Vendido</t>
        </is>
      </c>
      <c r="D226" s="4" t="inlineStr">
        <is>
          <t>115</t>
        </is>
      </c>
      <c r="E226" s="5" t="inlineStr">
        <is>
          <t>68.750,00</t>
        </is>
      </c>
      <c r="F226" s="4" t="inlineStr">
        <is>
          <t>250.00</t>
        </is>
      </c>
    </row>
    <row collapsed="false" customFormat="false" customHeight="false" hidden="false" ht="12.1" outlineLevel="0" r="227">
      <c r="A227" s="5" t="s">
        <f>=HYPERLINK("https://leilaoonline.net/lote/detalhe/36701", "24252")</f>
      </c>
      <c r="B227" s="4" t="s">
        <f>=HYPERLINK("https://leilaoonline.net/lote/detalhe/36701", " IMPLEMENTO ENLEIRADOR DE PALHA DRIA, FR 140012, FR 139902, UND. BOM RETIRO ")</f>
      </c>
      <c r="C227" s="4" t="inlineStr">
        <is>
          <t>Não vendido</t>
        </is>
      </c>
      <c r="D227" s="4" t="inlineStr">
        <is>
          <t>1</t>
        </is>
      </c>
      <c r="E227" s="5" t="inlineStr">
        <is>
          <t>1.250,00</t>
        </is>
      </c>
      <c r="F227" s="4" t="inlineStr">
        <is>
          <t>150.00</t>
        </is>
      </c>
    </row>
    <row collapsed="false" customFormat="false" customHeight="false" hidden="false" ht="12.1" outlineLevel="0" r="228">
      <c r="A228" s="5" t="s">
        <f>=HYPERLINK("https://leilaoonline.net/lote/detalhe/36702", "24254")</f>
      </c>
      <c r="B228" s="4" t="s">
        <f>=HYPERLINK("https://leilaoonline.net/lote/detalhe/36702", " CAMINHÃO M.BENZ 2220, ANO 1988, FR 34075, UND.BOM RETIRO ")</f>
      </c>
      <c r="C228" s="4" t="inlineStr">
        <is>
          <t>Não vendido</t>
        </is>
      </c>
      <c r="D228" s="4" t="inlineStr">
        <is>
          <t>33</t>
        </is>
      </c>
      <c r="E228" s="5" t="inlineStr">
        <is>
          <t>20.500,00</t>
        </is>
      </c>
      <c r="F228" s="4" t="inlineStr">
        <is>
          <t>250.00</t>
        </is>
      </c>
    </row>
    <row collapsed="false" customFormat="false" customHeight="false" hidden="false" ht="12.1" outlineLevel="0" r="229">
      <c r="A229" s="5" t="s">
        <f>=HYPERLINK("https://leilaoonline.net/lote/detalhe/36893", "24255")</f>
      </c>
      <c r="B229" s="4" t="s">
        <f>=HYPERLINK("https://leilaoonline.net/lote/detalhe/36893", "SUCATAS DE PLÁSTICOS, SF , UND. BOM RETIRO ")</f>
      </c>
      <c r="C229" s="4" t="inlineStr">
        <is>
          <t>Vendido</t>
        </is>
      </c>
      <c r="D229" s="4" t="inlineStr">
        <is>
          <t>4</t>
        </is>
      </c>
      <c r="E229" s="5" t="inlineStr">
        <is>
          <t>110,00</t>
        </is>
      </c>
      <c r="F229" s="4" t="inlineStr">
        <is>
          <t>20.00</t>
        </is>
      </c>
    </row>
    <row collapsed="false" customFormat="false" customHeight="false" hidden="false" ht="12.1" outlineLevel="0" r="230">
      <c r="A230" s="5" t="s">
        <f>=HYPERLINK("https://leilaoonline.net/lote/detalhe/36894", "24256")</f>
      </c>
      <c r="B230" s="4" t="s">
        <f>=HYPERLINK("https://leilaoonline.net/lote/detalhe/36894", "SUCATA DE CAMISA E EIXO DE MOENDA, S/FR , UND. BOM RETIRO ")</f>
      </c>
      <c r="C230" s="4" t="inlineStr">
        <is>
          <t>Não vendido</t>
        </is>
      </c>
      <c r="D230" s="4" t="inlineStr">
        <is>
          <t>5</t>
        </is>
      </c>
      <c r="E230" s="5" t="inlineStr">
        <is>
          <t>650,00</t>
        </is>
      </c>
      <c r="F230" s="4" t="inlineStr">
        <is>
          <t>50.00</t>
        </is>
      </c>
    </row>
    <row collapsed="false" customFormat="false" customHeight="false" hidden="false" ht="12.1" outlineLevel="0" r="231">
      <c r="A231" s="5" t="s">
        <f>=HYPERLINK("https://leilaoonline.net/lote/detalhe/37488", "24263")</f>
      </c>
      <c r="B231" s="4" t="s">
        <f>=HYPERLINK("https://leilaoonline.net/lote/detalhe/37488", "PÁ CARREGADEIRA CAT 966, ANO 1993, FR63013, UND BOM RETIRO")</f>
      </c>
      <c r="C231" s="4" t="inlineStr">
        <is>
          <t>Vendido</t>
        </is>
      </c>
      <c r="D231" s="4" t="inlineStr">
        <is>
          <t>119</t>
        </is>
      </c>
      <c r="E231" s="5" t="inlineStr">
        <is>
          <t>61.750,00</t>
        </is>
      </c>
      <c r="F231" s="4" t="inlineStr">
        <is>
          <t>250.00</t>
        </is>
      </c>
    </row>
    <row collapsed="false" customFormat="false" customHeight="false" hidden="false" ht="12.1" outlineLevel="0" r="232">
      <c r="A232" s="5" t="s">
        <f>=HYPERLINK("https://leilaoonline.net/lote/detalhe/38082", "25000")</f>
      </c>
      <c r="B232" s="4" t="s">
        <f>=HYPERLINK("https://leilaoonline.net/lote/detalhe/38082", "veja descritivo - quantidade aproximada 4800 PEÇAS DIVERSAS, S/FR, UND JUNQUEIRA")</f>
      </c>
      <c r="C232" s="4" t="inlineStr">
        <is>
          <t>Não vendido</t>
        </is>
      </c>
      <c r="D232" s="4" t="inlineStr">
        <is>
          <t>3</t>
        </is>
      </c>
      <c r="E232" s="5" t="inlineStr">
        <is>
          <t>1.550,00</t>
        </is>
      </c>
      <c r="F232" s="4" t="inlineStr">
        <is>
          <t>150.00</t>
        </is>
      </c>
    </row>
    <row collapsed="false" customFormat="false" customHeight="false" hidden="false" ht="12.1" outlineLevel="0" r="233">
      <c r="A233" s="5" t="s">
        <f>=HYPERLINK("https://leilaoonline.net/lote/detalhe/38083", "25001")</f>
      </c>
      <c r="B233" s="4" t="s">
        <f>=HYPERLINK("https://leilaoonline.net/lote/detalhe/38083", "veja descritivo QUANTIDADE APROXIMADA - 130 itens diversos - S/FR, UND SERRA")</f>
      </c>
      <c r="C233" s="4" t="inlineStr">
        <is>
          <t>Não vendido</t>
        </is>
      </c>
      <c r="D233" s="4" t="inlineStr">
        <is>
          <t>0</t>
        </is>
      </c>
      <c r="E233" s="5" t="inlineStr">
        <is>
          <t>250,00</t>
        </is>
      </c>
      <c r="F233" s="4" t="inlineStr">
        <is>
          <t>100.00</t>
        </is>
      </c>
    </row>
    <row collapsed="false" customFormat="false" customHeight="false" hidden="false" ht="12.1" outlineLevel="0" r="234">
      <c r="A234" s="5" t="s">
        <f>=HYPERLINK("https://leilaoonline.net/lote/detalhe/38084", "25002")</f>
      </c>
      <c r="B234" s="4" t="s">
        <f>=HYPERLINK("https://leilaoonline.net/lote/detalhe/38084", "veja descrição  quantidade aproximada - 3400 itens diversos - S/FR, UND BONFIM")</f>
      </c>
      <c r="C234" s="4" t="inlineStr">
        <is>
          <t>Não vendido</t>
        </is>
      </c>
      <c r="D234" s="4" t="inlineStr">
        <is>
          <t>0</t>
        </is>
      </c>
      <c r="E234" s="5" t="inlineStr">
        <is>
          <t>1.250,00</t>
        </is>
      </c>
      <c r="F234" s="4" t="inlineStr">
        <is>
          <t>150.00</t>
        </is>
      </c>
    </row>
    <row collapsed="false" customFormat="false" customHeight="false" hidden="false" ht="12.1" outlineLevel="0" r="235">
      <c r="A235" s="5" t="s">
        <f>=HYPERLINK("https://leilaoonline.net/lote/detalhe/38085", "25003")</f>
      </c>
      <c r="B235" s="4" t="s">
        <f>=HYPERLINK("https://leilaoonline.net/lote/detalhe/38085", "veja descrição  quantidade aproximada - 250 itens diversos - S/FR, UND TAMOIO")</f>
      </c>
      <c r="C235" s="4" t="inlineStr">
        <is>
          <t>Não vendido</t>
        </is>
      </c>
      <c r="D235" s="4" t="inlineStr">
        <is>
          <t>0</t>
        </is>
      </c>
      <c r="E235" s="5" t="inlineStr">
        <is>
          <t>1.250,00</t>
        </is>
      </c>
      <c r="F235" s="4" t="inlineStr">
        <is>
          <t>150.00</t>
        </is>
      </c>
    </row>
    <row collapsed="false" customFormat="false" customHeight="false" hidden="false" ht="12.1" outlineLevel="0" r="236">
      <c r="A236" s="5" t="s">
        <f>=HYPERLINK("https://leilaoonline.net/lote/detalhe/38109", "25004")</f>
      </c>
      <c r="B236" s="4" t="s">
        <f>=HYPERLINK("https://leilaoonline.net/lote/detalhe/38109", "veja descrição  quantidade aproximada - 8900 itens diversos - S/FR, UND BOM RETIRO")</f>
      </c>
      <c r="C236" s="4" t="inlineStr">
        <is>
          <t>Não vendido</t>
        </is>
      </c>
      <c r="D236" s="4" t="inlineStr">
        <is>
          <t>0</t>
        </is>
      </c>
      <c r="E236" s="5" t="inlineStr">
        <is>
          <t>1.250,00</t>
        </is>
      </c>
      <c r="F236" s="4" t="inlineStr">
        <is>
          <t>150.00</t>
        </is>
      </c>
    </row>
    <row collapsed="false" customFormat="false" customHeight="false" hidden="false" ht="12.1" outlineLevel="0" r="237">
      <c r="A237" s="5" t="s">
        <f>=HYPERLINK("https://leilaoonline.net/lote/detalhe/38110", "25005")</f>
      </c>
      <c r="B237" s="4" t="s">
        <f>=HYPERLINK("https://leilaoonline.net/lote/detalhe/38110", "veja descrição  quantidade aproximada - 360 itens diversos - S/FR, UND ZANIN")</f>
      </c>
      <c r="C237" s="4" t="inlineStr">
        <is>
          <t>Não vendido</t>
        </is>
      </c>
      <c r="D237" s="4" t="inlineStr">
        <is>
          <t>0</t>
        </is>
      </c>
      <c r="E237" s="5" t="inlineStr">
        <is>
          <t>1.250,00</t>
        </is>
      </c>
      <c r="F237" s="4" t="inlineStr">
        <is>
          <t>150.00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2026-09-11T17:22:32.00Z</dcterms:created>
  <dc:creator>Tellks Tecnologia</dc:creator>
  <cp:revision>0</cp:revision>
</cp:coreProperties>
</file>