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20 CAMINHÕES - 29 TRATORES VALTRA, CASE, MF, JD - REBOQUES - HIDRO ROLL - MOTOBOMBAS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15/03/2024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=HYPERLINK("https://leilaoonline.net/lote/detalhe/218656", "1077")</f>
      </c>
      <c r="B11" s="4" t="s">
        <f>=HYPERLINK("https://leilaoonline.net/lote/detalhe/218656", "REBOQUE SERGOMEL RSCPI 4E; ANO 2015/2015; AZUL; PALHA 1CX 105 M³. - FR97808. - LOC. TARUMÃ")</f>
      </c>
      <c r="C11" s="4" t="inlineStr">
        <is>
          <t>Vendido</t>
        </is>
      </c>
      <c r="D11" s="4" t="inlineStr">
        <is>
          <t>19</t>
        </is>
      </c>
      <c r="E11" s="5" t="inlineStr">
        <is>
          <t>39.000,00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=HYPERLINK("https://leilaoonline.net/lote/detalhe/218649", "5035")</f>
      </c>
      <c r="B12" s="4" t="s">
        <f>=HYPERLINK("https://leilaoonline.net/lote/detalhe/218649", "TANQUE CILINDRICO VERTICAL MAT POLETILE. (APROX. 15.000 LITROS) - FR209865. - LOC. RAFARD")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1.100,00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=HYPERLINK("https://leilaoonline.net/lote/detalhe/216767", "8000")</f>
      </c>
      <c r="B13" s="4" t="s">
        <f>=HYPERLINK("https://leilaoonline.net/lote/detalhe/216767", " 3 CULTIVADORES. - FR4445230 /FR4445018 /FR4445231. - LOC CAARAPÓ")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1.200,00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=HYPERLINK("https://leilaoonline.net/lote/detalhe/218647", "8003")</f>
      </c>
      <c r="B14" s="4" t="s">
        <f>=HYPERLINK("https://leilaoonline.net/lote/detalhe/218647", "CAMINHÃO MERCEDES BENZ 3344S 6X4; ANO 2016/2016; BRANCO. - FR4415055. - CAARAPÓ")</f>
      </c>
      <c r="C14" s="4" t="inlineStr">
        <is>
          <t>Não vendido</t>
        </is>
      </c>
      <c r="D14" s="4" t="inlineStr">
        <is>
          <t>28</t>
        </is>
      </c>
      <c r="E14" s="5" t="inlineStr">
        <is>
          <t>75.000,00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=HYPERLINK("https://leilaoonline.net/lote/detalhe/218646", "8050")</f>
      </c>
      <c r="B15" s="4" t="s">
        <f>=HYPERLINK("https://leilaoonline.net/lote/detalhe/218646", "1 GERADOR À DIESEL CATERPILLAR 450K COM MOTOR. - FR292169/FR292168. - LOC. PASSATEMPO")</f>
      </c>
      <c r="C15" s="4" t="inlineStr">
        <is>
          <t>Não vendido</t>
        </is>
      </c>
      <c r="D15" s="4" t="inlineStr">
        <is>
          <t>35</t>
        </is>
      </c>
      <c r="E15" s="5" t="inlineStr">
        <is>
          <t>41.000,00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=HYPERLINK("https://leilaoonline.net/lote/detalhe/216770", "9019")</f>
      </c>
      <c r="B16" s="4" t="s">
        <f>=HYPERLINK("https://leilaoonline.net/lote/detalhe/216770", "CARRETINHA DE TUBO; ANO 2017. - FR4445289. - LOC. CAARAPÓ")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1.200,00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=HYPERLINK("https://leilaoonline.net/lote/detalhe/218648", "9023")</f>
      </c>
      <c r="B17" s="4" t="s">
        <f>=HYPERLINK("https://leilaoonline.net/lote/detalhe/218648", "CARRETINHA DE TUBO, ANO 2017. - FR4445290. - LOC. CAARAPÓ")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1.200,00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=HYPERLINK("https://leilaoonline.net/lote/detalhe/218650", "9028")</f>
      </c>
      <c r="B18" s="4" t="s">
        <f>=HYPERLINK("https://leilaoonline.net/lote/detalhe/218650", "2 ENLEIRADEIRAS DE PALHA. - FR4445292. - LOC. CAARAPÓ")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1.200,00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=HYPERLINK("https://leilaoonline.net/lote/detalhe/216845", "11486")</f>
      </c>
      <c r="B19" s="4" t="s">
        <f>=HYPERLINK("https://leilaoonline.net/lote/detalhe/216845", " SEMI REBOQUE TRUCK GALEGO SR; ANO 2004/2004; AZUL. - FR10003583. - LOC. CONTINENTAL")</f>
      </c>
      <c r="C19" s="4" t="inlineStr">
        <is>
          <t>Vendido</t>
        </is>
      </c>
      <c r="D19" s="4" t="inlineStr">
        <is>
          <t>3</t>
        </is>
      </c>
      <c r="E19" s="5" t="inlineStr">
        <is>
          <t>17.000,00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=HYPERLINK("https://leilaoonline.net/lote/detalhe/216863", "11489")</f>
      </c>
      <c r="B20" s="4" t="s">
        <f>=HYPERLINK("https://leilaoonline.net/lote/detalhe/216863", " SEMI REBOQUE TRUCK GALEGO SR; ANO 2004/2004; AZUL. - FR10004109. - LOC. CONTINENTAL")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16.500,00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=HYPERLINK("https://leilaoonline.net/lote/detalhe/216778", "11490")</f>
      </c>
      <c r="B21" s="4" t="s">
        <f>=HYPERLINK("https://leilaoonline.net/lote/detalhe/216778", "CARROCERIA COMBOIO GASCOM. - S/FR. - LOC. CONTINENTAL")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=HYPERLINK("https://leilaoonline.net/lote/detalhe/216837", "16484")</f>
      </c>
      <c r="B22" s="4" t="s">
        <f>=HYPERLINK("https://leilaoonline.net/lote/detalhe/216837", "PLANTADORA DMB; PCP 6000; ANO 2010. - FR88897. - LOC. GASA")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=HYPERLINK("https://leilaoonline.net/lote/detalhe/218657", "16573")</f>
      </c>
      <c r="B23" s="4" t="s">
        <f>=HYPERLINK("https://leilaoonline.net/lote/detalhe/218657", "PLANTADORA DMB; ANO 2012. - S/FR. - LOC. BENALCOOL")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=HYPERLINK("https://leilaoonline.net/lote/detalhe/218641", "17332")</f>
      </c>
      <c r="B24" s="4" t="s">
        <f>=HYPERLINK("https://leilaoonline.net/lote/detalhe/218641", "CARRETA FARDO DE PALHA M12010, ANO 2012. - FR48311. - LOC. IPAUSSU")</f>
      </c>
      <c r="C24" s="4" t="inlineStr">
        <is>
          <t>Não vendido</t>
        </is>
      </c>
      <c r="D24" s="4" t="inlineStr">
        <is>
          <t>5</t>
        </is>
      </c>
      <c r="E24" s="5" t="inlineStr">
        <is>
          <t>7.000,00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=HYPERLINK("https://leilaoonline.net/lote/detalhe/218653", "20581")</f>
      </c>
      <c r="B25" s="4" t="s">
        <f>=HYPERLINK("https://leilaoonline.net/lote/detalhe/218653", "ENXADA HOWARD ENGUNERING LIMITED ROTATIVA; ANO 2013. - FR57323. - LOC. BOM RETIRO")</f>
      </c>
      <c r="C25" s="4" t="inlineStr">
        <is>
          <t>Vendido</t>
        </is>
      </c>
      <c r="D25" s="4" t="inlineStr">
        <is>
          <t>4</t>
        </is>
      </c>
      <c r="E25" s="5" t="inlineStr">
        <is>
          <t>9.000,00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=HYPERLINK("https://leilaoonline.net/lote/detalhe/218651", "20647")</f>
      </c>
      <c r="B26" s="4" t="s">
        <f>=HYPERLINK("https://leilaoonline.net/lote/detalhe/218651", "TRITURADOR DE CANA TRC VICON; ANO 2013. - FR25280. - LOC. BOM RETIRO")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=HYPERLINK("https://leilaoonline.net/lote/detalhe/218652", "30087")</f>
      </c>
      <c r="B27" s="4" t="s">
        <f>=HYPERLINK("https://leilaoonline.net/lote/detalhe/218652", "ELIMINADOR DE SOQUEIRA; ANO 2018. - FR140065. - LOC. RAFARD")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1.100,00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=HYPERLINK("https://leilaoonline.net/lote/detalhe/216864", "31015")</f>
      </c>
      <c r="B28" s="4" t="s">
        <f>=HYPERLINK("https://leilaoonline.net/lote/detalhe/216864", " SEMI REBOQUE TRUCK GALEGO SR; ANO 2004/2004; AZUL. - FR10004108. - LOC. CONTINENTAL")</f>
      </c>
      <c r="C28" s="4" t="inlineStr">
        <is>
          <t>Vendido</t>
        </is>
      </c>
      <c r="D28" s="4" t="inlineStr">
        <is>
          <t>2</t>
        </is>
      </c>
      <c r="E28" s="5" t="inlineStr">
        <is>
          <t>16.000,00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=HYPERLINK("https://leilaoonline.net/lote/detalhe/216777", "31016")</f>
      </c>
      <c r="B29" s="4" t="s">
        <f>=HYPERLINK("https://leilaoonline.net/lote/detalhe/216777", "SEMI REBOQUE RANDON SR CA; ANO 2003/2003; AZUL. - FR10004089. - LOC. CONTINENTAL")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15.000,00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=HYPERLINK("https://leilaoonline.net/lote/detalhe/216776", "31018")</f>
      </c>
      <c r="B30" s="4" t="s">
        <f>=HYPERLINK("https://leilaoonline.net/lote/detalhe/216776", "SEMI REBOQUE RANDON SR CA; ANO 2002/2003; AZUL. - FR10004077. - LOC. CONTINENTAL")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=HYPERLINK("https://leilaoonline.net/lote/detalhe/216774", "31024")</f>
      </c>
      <c r="B31" s="4" t="s">
        <f>=HYPERLINK("https://leilaoonline.net/lote/detalhe/216774", "SEMI REBOQUE RODOFORT SRR CN; ANO 2005/2005; AZUL. - FR14004284. - LOC. CONTINENTAL")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16.000,00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=HYPERLINK("https://leilaoonline.net/lote/detalhe/216848", "31026")</f>
      </c>
      <c r="B32" s="4" t="s">
        <f>=HYPERLINK("https://leilaoonline.net/lote/detalhe/216848", " SEMI REBOQUE TRUCK GALEGO SR, ANO 2004/2004, AZUL - FR10004100. - LOC. CONTINENTAL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=HYPERLINK("https://leilaoonline.net/lote/detalhe/216765", "31312")</f>
      </c>
      <c r="B33" s="4" t="s">
        <f>=HYPERLINK("https://leilaoonline.net/lote/detalhe/216765", "DISTRIBUIDORA DE ADUBO 3 HASTE DMB; ANO 2014. - FR9003126. - LOC RIO BRILHANTE")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=HYPERLINK("https://leilaoonline.net/lote/detalhe/219238", "31353")</f>
      </c>
      <c r="B34" s="4" t="s">
        <f>=HYPERLINK("https://leilaoonline.net/lote/detalhe/219238", " TRANSBORDO TAC 13000; ANO 2008. - FR5004743. - LOC. PASSATEMPO")</f>
      </c>
      <c r="C34" s="4" t="inlineStr">
        <is>
          <t>Vendido</t>
        </is>
      </c>
      <c r="D34" s="4" t="inlineStr">
        <is>
          <t>8</t>
        </is>
      </c>
      <c r="E34" s="5" t="inlineStr">
        <is>
          <t>17.000,00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=HYPERLINK("https://leilaoonline.net/lote/detalhe/217618", "31361")</f>
      </c>
      <c r="B35" s="4" t="s">
        <f>=HYPERLINK("https://leilaoonline.net/lote/detalhe/217618", "CAMINHÃO VOLKSWAGEN 15-180 EURO3 WORKER; ANO 2008/2009; BRANCO. - FR163112. - LOC. JATAÍ")</f>
      </c>
      <c r="C35" s="4" t="inlineStr">
        <is>
          <t>Não vendido</t>
        </is>
      </c>
      <c r="D35" s="4" t="inlineStr">
        <is>
          <t>30</t>
        </is>
      </c>
      <c r="E35" s="5" t="inlineStr">
        <is>
          <t>86.000,00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=HYPERLINK("https://leilaoonline.net/lote/detalhe/217619", "31374")</f>
      </c>
      <c r="B36" s="4" t="s">
        <f>=HYPERLINK("https://leilaoonline.net/lote/detalhe/217619", "SEMI REBOQUE RANDON SP SRCA CA; ANO 2012/2012; AZUL. - FR10914. - LOC. JATAÍ")</f>
      </c>
      <c r="C36" s="4" t="inlineStr">
        <is>
          <t>Vendido</t>
        </is>
      </c>
      <c r="D36" s="4" t="inlineStr">
        <is>
          <t>19</t>
        </is>
      </c>
      <c r="E36" s="5" t="inlineStr">
        <is>
          <t>49.000,00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=HYPERLINK("https://leilaoonline.net/lote/detalhe/218639", "31439")</f>
      </c>
      <c r="B37" s="4" t="s">
        <f>=HYPERLINK("https://leilaoonline.net/lote/detalhe/218639", "CARRETA SERVIÇOS DIVERSOS; ANO 2012. - FR10003166. - LOC CONTINENTAL")</f>
      </c>
      <c r="C37" s="4" t="inlineStr">
        <is>
          <t>Não vendido</t>
        </is>
      </c>
      <c r="D37" s="4" t="inlineStr">
        <is>
          <t>5</t>
        </is>
      </c>
      <c r="E37" s="5" t="inlineStr">
        <is>
          <t>3.800,00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=HYPERLINK("https://leilaoonline.net/lote/detalhe/218640", "31443")</f>
      </c>
      <c r="B38" s="4" t="s">
        <f>=HYPERLINK("https://leilaoonline.net/lote/detalhe/218640", "2 CARRETINHAS. - FR10003212/FR10003213. - LOC CONTINENTAL")</f>
      </c>
      <c r="C38" s="4" t="inlineStr">
        <is>
          <t>Não vendido</t>
        </is>
      </c>
      <c r="D38" s="4" t="inlineStr">
        <is>
          <t>4</t>
        </is>
      </c>
      <c r="E38" s="5" t="inlineStr">
        <is>
          <t>1.600,00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=HYPERLINK("https://leilaoonline.net/lote/detalhe/216766", "31457")</f>
      </c>
      <c r="B39" s="4" t="s">
        <f>=HYPERLINK("https://leilaoonline.net/lote/detalhe/216766", "PREPARADOR DE SOLO PSPC ANTONIOSI; ANO 2013. - FR140003. - LOC. BOM RETIRO")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=HYPERLINK("https://leilaoonline.net/lote/detalhe/216876", "31506")</f>
      </c>
      <c r="B40" s="4" t="s">
        <f>=HYPERLINK("https://leilaoonline.net/lote/detalhe/216876", " TRANSBORDO ANTONIOSI ATA 12000; CAP. 12 TON. ANO 2015. - FR188712. - LOC. GASA")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10.000,00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=HYPERLINK("https://leilaoonline.net/lote/detalhe/216870", "31507")</f>
      </c>
      <c r="B41" s="4" t="s">
        <f>=HYPERLINK("https://leilaoonline.net/lote/detalhe/216870", " TRANSBORDO ANTONIOSI ATA 12000; CAP. 12 TON. ANO 2015. - FR188733. - LOC. GASA")</f>
      </c>
      <c r="C41" s="4" t="inlineStr">
        <is>
          <t>Não vendido</t>
        </is>
      </c>
      <c r="D41" s="4" t="inlineStr">
        <is>
          <t>4</t>
        </is>
      </c>
      <c r="E41" s="5" t="inlineStr">
        <is>
          <t>13.000,00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=HYPERLINK("https://leilaoonline.net/lote/detalhe/216873", "31509")</f>
      </c>
      <c r="B42" s="4" t="s">
        <f>=HYPERLINK("https://leilaoonline.net/lote/detalhe/216873", " TRANSBORDO ANTONIOSI ATA 12000; CAP. 12 TON. ANO 2015. - FR188700. - LOC. GASA")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10.000,00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=HYPERLINK("https://leilaoonline.net/lote/detalhe/216862", "31511")</f>
      </c>
      <c r="B43" s="4" t="s">
        <f>=HYPERLINK("https://leilaoonline.net/lote/detalhe/216862", " TRANSBORDO ANTONIOSI ATA 12000; CAP. 12 TON. ANO 2015. - FR188734. - LOC. GASA")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=HYPERLINK("https://leilaoonline.net/lote/detalhe/218636", "31529")</f>
      </c>
      <c r="B44" s="4" t="s">
        <f>=HYPERLINK("https://leilaoonline.net/lote/detalhe/218636", "CAMINHÃO MERCEDES BENZ AXOR 3344S 6X4; ANO 2014/2014; BRANCA. (SEM MOTOR) - FR362091. - LOC BENALCOOL  (VENDA SOMENTE PARA COMPRADORES DO ESTADO DE SÃO PAULO)")</f>
      </c>
      <c r="C44" s="4" t="inlineStr">
        <is>
          <t>Não vendido</t>
        </is>
      </c>
      <c r="D44" s="4" t="inlineStr">
        <is>
          <t>24</t>
        </is>
      </c>
      <c r="E44" s="5" t="inlineStr">
        <is>
          <t>43.000,00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=HYPERLINK("https://leilaoonline.net/lote/detalhe/218644", "31688")</f>
      </c>
      <c r="B45" s="4" t="s">
        <f>=HYPERLINK("https://leilaoonline.net/lote/detalhe/218644", "LOTE CONTENDO: 4 CARRETINHAS DE SERVIÇOS GERAIS; ANO 2013. (VENDA SEM DOC.) - FR9003113/FR9003114/FR9003115/FR9003116. - LOC. MARACAJU")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2.000,00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=HYPERLINK("https://leilaoonline.net/lote/detalhe/218176", "31694")</f>
      </c>
      <c r="B46" s="4" t="s">
        <f>=HYPERLINK("https://leilaoonline.net/lote/detalhe/218176", "LOTE CONTENDO: 2 HIDROROLL; ANO 2003/2004. - FR4003040/FR14003036. - LOC. MARACAJU")</f>
      </c>
      <c r="C46" s="4" t="inlineStr">
        <is>
          <t>Vendido</t>
        </is>
      </c>
      <c r="D46" s="4" t="inlineStr">
        <is>
          <t>1</t>
        </is>
      </c>
      <c r="E46" s="5" t="inlineStr">
        <is>
          <t>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=HYPERLINK("https://leilaoonline.net/lote/detalhe/218174", "31702")</f>
      </c>
      <c r="B47" s="4" t="s">
        <f>=HYPERLINK("https://leilaoonline.net/lote/detalhe/218174", "BAZUKA SOLLUS C/ 2 COCHOS; ANO 2015. - PT299734. - LOC. MARACAJU")</f>
      </c>
      <c r="C47" s="4" t="inlineStr">
        <is>
          <t>Não vendido</t>
        </is>
      </c>
      <c r="D47" s="4" t="inlineStr">
        <is>
          <t>28</t>
        </is>
      </c>
      <c r="E47" s="5" t="inlineStr">
        <is>
          <t>18.500,00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=HYPERLINK("https://leilaoonline.net/lote/detalhe/218175", "31703")</f>
      </c>
      <c r="B48" s="4" t="s">
        <f>=HYPERLINK("https://leilaoonline.net/lote/detalhe/218175", "BAZUKA SOLLUS C/ 2 COCHOS; ANO 2015. - PT299715. - LOC. MARACAJU")</f>
      </c>
      <c r="C48" s="4" t="inlineStr">
        <is>
          <t>Não vendido</t>
        </is>
      </c>
      <c r="D48" s="4" t="inlineStr">
        <is>
          <t>21</t>
        </is>
      </c>
      <c r="E48" s="5" t="inlineStr">
        <is>
          <t>18.500,00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=HYPERLINK("https://leilaoonline.net/lote/detalhe/218667", "31733")</f>
      </c>
      <c r="B49" s="4" t="s">
        <f>=HYPERLINK("https://leilaoonline.net/lote/detalhe/218667", "TRATOR JOHN DEERE 7210J 4X4; ANO 2016. - FR4435154. - LOC. CAARAPÓ")</f>
      </c>
      <c r="C49" s="4" t="inlineStr">
        <is>
          <t>Não vendido</t>
        </is>
      </c>
      <c r="D49" s="4" t="inlineStr">
        <is>
          <t>62</t>
        </is>
      </c>
      <c r="E49" s="5" t="inlineStr">
        <is>
          <t>81.000,00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=HYPERLINK("https://leilaoonline.net/lote/detalhe/216768", "31783")</f>
      </c>
      <c r="B50" s="4" t="s">
        <f>=HYPERLINK("https://leilaoonline.net/lote/detalhe/216768", "REBOQUE RANDON SP RQ CA; ANO 2010/2010; AZUL. - FR96769. - LOC. JUNQUEIRA")</f>
      </c>
      <c r="C50" s="4" t="inlineStr">
        <is>
          <t>Vendido</t>
        </is>
      </c>
      <c r="D50" s="4" t="inlineStr">
        <is>
          <t>1</t>
        </is>
      </c>
      <c r="E50" s="5" t="inlineStr">
        <is>
          <t>25.000,00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=HYPERLINK("https://leilaoonline.net/lote/detalhe/218654", "31798")</f>
      </c>
      <c r="B51" s="4" t="s">
        <f>=HYPERLINK("https://leilaoonline.net/lote/detalhe/218654", "CARRETA DISTRIBUIDORA DE TORTA SPANDER; ANO 2015. - FR189004. - LOC. GASA")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3.000,00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=HYPERLINK("https://leilaoonline.net/lote/detalhe/218638", "31811")</f>
      </c>
      <c r="B52" s="4" t="s">
        <f>=HYPERLINK("https://leilaoonline.net/lote/detalhe/218638", "03 DESENLEIRADORES. - FR103095/ FR103096/ FR103094. - LOC. BARRA")</f>
      </c>
      <c r="C52" s="4" t="inlineStr">
        <is>
          <t>Não vendido</t>
        </is>
      </c>
      <c r="D52" s="4" t="inlineStr">
        <is>
          <t>2</t>
        </is>
      </c>
      <c r="E52" s="5" t="inlineStr">
        <is>
          <t>1.200,00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=HYPERLINK("https://leilaoonline.net/lote/detalhe/218637", "31815")</f>
      </c>
      <c r="B53" s="4" t="s">
        <f>=HYPERLINK("https://leilaoonline.net/lote/detalhe/218637", "02 ESTEIRAS DE 1,00X1,50; 02 DETECTORES DE METAL; 01 QUEBRA TORRÃO DE AÇUCAR; 01 ESTEIRA CURVA 1,00X2,00 APROX. - FR202769. - LOC. BARRA ")</f>
      </c>
      <c r="C53" s="4" t="inlineStr">
        <is>
          <t>Não vendido</t>
        </is>
      </c>
      <c r="D53" s="4" t="inlineStr">
        <is>
          <t>8</t>
        </is>
      </c>
      <c r="E53" s="5" t="inlineStr">
        <is>
          <t>8.000,00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=HYPERLINK("https://leilaoonline.net/lote/detalhe/218635", "31831")</f>
      </c>
      <c r="B54" s="4" t="s">
        <f>=HYPERLINK("https://leilaoonline.net/lote/detalhe/218635", "TRATOR CORTADOR DE GRAMA JOHN DEERE D170; ANO 2015. - FR19629. - LOC. SANTA CÂNDIDA")</f>
      </c>
      <c r="C54" s="4" t="inlineStr">
        <is>
          <t>Não vendido</t>
        </is>
      </c>
      <c r="D54" s="4" t="inlineStr">
        <is>
          <t>10</t>
        </is>
      </c>
      <c r="E54" s="5" t="inlineStr">
        <is>
          <t>9.500,00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=HYPERLINK("https://leilaoonline.net/lote/detalhe/218642", "31891")</f>
      </c>
      <c r="B55" s="4" t="s">
        <f>=HYPERLINK("https://leilaoonline.net/lote/detalhe/218642", "1 TALHA 3F 24VCA NERM032SD-SD 3; 2TO 8M FABR. KING TA; FR200273 / 1 TALHA ELETRICA CAPAC. 3 TON. MOD. ER2032; FR200269. - LOC. IPAUSSU")</f>
      </c>
      <c r="C55" s="4" t="inlineStr">
        <is>
          <t>Não vendido</t>
        </is>
      </c>
      <c r="D55" s="4" t="inlineStr">
        <is>
          <t>6</t>
        </is>
      </c>
      <c r="E55" s="5" t="inlineStr">
        <is>
          <t>3.500,00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=HYPERLINK("https://leilaoonline.net/lote/detalhe/216769", "31911")</f>
      </c>
      <c r="B56" s="4" t="s">
        <f>=HYPERLINK("https://leilaoonline.net/lote/detalhe/216769", "PLANTADORA DE CANA DMB PCP 6000; ANO 2012. - FR112340. - LOC. MUNDIAL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=HYPERLINK("https://leilaoonline.net/lote/detalhe/218655", "31919")</f>
      </c>
      <c r="B57" s="4" t="s">
        <f>=HYPERLINK("https://leilaoonline.net/lote/detalhe/218655", "CARRETA DISTRIBUIDORA TORTA SOLLUS SPANDER; ANO 2012. - FR173563. - LOC. BENALCOOL")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=HYPERLINK("https://leilaoonline.net/lote/detalhe/218645", "31943")</f>
      </c>
      <c r="B58" s="4" t="s">
        <f>=HYPERLINK("https://leilaoonline.net/lote/detalhe/218645", "PLANTADORA DMB; ANO 2013. - FR9003138. - LOC. RIO BRILHANTE ")</f>
      </c>
      <c r="C58" s="4" t="inlineStr">
        <is>
          <t>Não vendido</t>
        </is>
      </c>
      <c r="D58" s="4" t="inlineStr">
        <is>
          <t>6</t>
        </is>
      </c>
      <c r="E58" s="5" t="inlineStr">
        <is>
          <t>15.000,00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=HYPERLINK("https://leilaoonline.net/lote/detalhe/217842", "32045")</f>
      </c>
      <c r="B59" s="4" t="s">
        <f>=HYPERLINK("https://leilaoonline.net/lote/detalhe/217842", "APROX. 100 PEÇAS DIVERSAS DE EQUIPAMENTOS AGRÍCOLAS; VEJA DESCRITIVO DE ITENS. - S/FR. - LOC. CAARAPÓ")</f>
      </c>
      <c r="C59" s="4" t="inlineStr">
        <is>
          <t>Não vendido</t>
        </is>
      </c>
      <c r="D59" s="4" t="inlineStr">
        <is>
          <t>4</t>
        </is>
      </c>
      <c r="E59" s="5" t="inlineStr">
        <is>
          <t>800,00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=HYPERLINK("https://leilaoonline.net/lote/detalhe/216771", "32051")</f>
      </c>
      <c r="B60" s="4" t="s">
        <f>=HYPERLINK("https://leilaoonline.net/lote/detalhe/216771", "HIDROROLL METALMAG; ANO 2008. (ROLÃO DE VINHAÇA) - FR48182. - LOC. IPAUSSU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=HYPERLINK("https://leilaoonline.net/lote/detalhe/218775", "32054")</f>
      </c>
      <c r="B61" s="4" t="s">
        <f>=HYPERLINK("https://leilaoonline.net/lote/detalhe/218775", "TRANSBORDO TESTON PT22000 22T; ANO 2017. - FR4445279. - LOC. RIO BRILHANTE")</f>
      </c>
      <c r="C61" s="4" t="inlineStr">
        <is>
          <t>Não vendido</t>
        </is>
      </c>
      <c r="D61" s="4" t="inlineStr">
        <is>
          <t>37</t>
        </is>
      </c>
      <c r="E61" s="5" t="inlineStr">
        <is>
          <t>61.000,00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=HYPERLINK("https://leilaoonline.net/lote/detalhe/218728", "32084")</f>
      </c>
      <c r="B62" s="4" t="s">
        <f>=HYPERLINK("https://leilaoonline.net/lote/detalhe/218728", "TRATOR CASE MX 260 MAGNUM 4X4; ANO 2017. - FR20373. - LOC. SANTA CÂNDIDA")</f>
      </c>
      <c r="C62" s="4" t="inlineStr">
        <is>
          <t>Não vendido</t>
        </is>
      </c>
      <c r="D62" s="4" t="inlineStr">
        <is>
          <t>71</t>
        </is>
      </c>
      <c r="E62" s="5" t="inlineStr">
        <is>
          <t>150.000,00</t>
        </is>
      </c>
      <c r="F62" s="4" t="inlineStr">
        <is>
          <t>2000.00</t>
        </is>
      </c>
    </row>
    <row collapsed="false" customFormat="false" customHeight="false" hidden="false" ht="12.1" outlineLevel="0" r="63">
      <c r="A63" s="5" t="s">
        <f>=HYPERLINK("https://leilaoonline.net/lote/detalhe/218666", "32088")</f>
      </c>
      <c r="B63" s="4" t="s">
        <f>=HYPERLINK("https://leilaoonline.net/lote/detalhe/218666", " 2 COLHEDORAS CASE 8800; ANO 2010. - FR32223/FR139506. - LOC. BONFIM")</f>
      </c>
      <c r="C63" s="4" t="inlineStr">
        <is>
          <t>Vendido</t>
        </is>
      </c>
      <c r="D63" s="4" t="inlineStr">
        <is>
          <t>14</t>
        </is>
      </c>
      <c r="E63" s="5" t="inlineStr">
        <is>
          <t>43.000,00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=HYPERLINK("https://leilaoonline.net/lote/detalhe/217857", "32089")</f>
      </c>
      <c r="B64" s="4" t="s">
        <f>=HYPERLINK("https://leilaoonline.net/lote/detalhe/217857", "3 SILOS NAS MEDIDAS: Nº 1 CAP. 193M³ MED. 0,80X6,35X12M (SAI-LP-0009) - Nº 2 CAP. 203M³ MED. 0,80X5,46X12,74M - (SAI-LP-0010) - Nº 3 CAP. 193M³ MED. 0,80X6,35X12M (SAI-LP-0011) UMA TORRE ELEVADORA - LOC. LAGOA DA PRATA")</f>
      </c>
      <c r="C64" s="4" t="inlineStr">
        <is>
          <t>Não vendido</t>
        </is>
      </c>
      <c r="D64" s="4" t="inlineStr">
        <is>
          <t>55</t>
        </is>
      </c>
      <c r="E64" s="5" t="inlineStr">
        <is>
          <t>118.000,00</t>
        </is>
      </c>
      <c r="F64" s="4" t="inlineStr">
        <is>
          <t>2000.00</t>
        </is>
      </c>
    </row>
    <row collapsed="false" customFormat="false" customHeight="false" hidden="false" ht="12.1" outlineLevel="0" r="65">
      <c r="A65" s="5" t="s">
        <f>=HYPERLINK("https://leilaoonline.net/lote/detalhe/216839", "32094")</f>
      </c>
      <c r="B65" s="4" t="s">
        <f>=HYPERLINK("https://leilaoonline.net/lote/detalhe/216839", " DESENVERNIZADEIRA. - S/FR. - LOC. MARACAÍ")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=HYPERLINK("https://leilaoonline.net/lote/detalhe/218177", "32103")</f>
      </c>
      <c r="B66" s="4" t="s">
        <f>=HYPERLINK("https://leilaoonline.net/lote/detalhe/218177", "APROX. 103 ITENS DE INFORMÁTICA DIVERSOS; VEJA DESCRITIVO DE ITENS. - S/FR. - LOC. IPAUSSU")</f>
      </c>
      <c r="C66" s="4" t="inlineStr">
        <is>
          <t>Vendido</t>
        </is>
      </c>
      <c r="D66" s="4" t="inlineStr">
        <is>
          <t>5</t>
        </is>
      </c>
      <c r="E66" s="5" t="inlineStr">
        <is>
          <t>1.000,00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=HYPERLINK("https://leilaoonline.net/lote/detalhe/217257", "32104")</f>
      </c>
      <c r="B67" s="4" t="s">
        <f>=HYPERLINK("https://leilaoonline.net/lote/detalhe/217257", "APROX. 156 PNEUS DIVERSOS. - VEJA DESCRITIVO DE ITENS. - S/FR. - LOC. BARRA")</f>
      </c>
      <c r="C67" s="4" t="inlineStr">
        <is>
          <t>Vendido</t>
        </is>
      </c>
      <c r="D67" s="4" t="inlineStr">
        <is>
          <t>114</t>
        </is>
      </c>
      <c r="E67" s="5" t="inlineStr">
        <is>
          <t>36.400,00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=HYPERLINK("https://leilaoonline.net/lote/detalhe/217899", "32105")</f>
      </c>
      <c r="B68" s="4" t="s">
        <f>=HYPERLINK("https://leilaoonline.net/lote/detalhe/217899", "CAMINHÃO VOLKSWAGEN BMB 31.320 CNC CM; ANO 2010/2010; BRANCO. - FR70893. - LOC. BARRA (VENDA SOMENTE PARA COMPRADORES DO ESTADO DE SÃO PAULO)")</f>
      </c>
      <c r="C68" s="4" t="inlineStr">
        <is>
          <t>Vendido</t>
        </is>
      </c>
      <c r="D68" s="4" t="inlineStr">
        <is>
          <t>60</t>
        </is>
      </c>
      <c r="E68" s="5" t="inlineStr">
        <is>
          <t>102.000,00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=HYPERLINK("https://leilaoonline.net/lote/detalhe/218630", "32106")</f>
      </c>
      <c r="B69" s="4" t="s">
        <f>=HYPERLINK("https://leilaoonline.net/lote/detalhe/218630", "QUADRICICLO HONDA TRX 420; ANO 2014 / REBOQUE TIN CAR REBTC; ANO 2015/2015; PRETO. - FR163038/FR165391. - LOC. DIAMANTE")</f>
      </c>
      <c r="C69" s="4" t="inlineStr">
        <is>
          <t>Vendido</t>
        </is>
      </c>
      <c r="D69" s="4" t="inlineStr">
        <is>
          <t>40</t>
        </is>
      </c>
      <c r="E69" s="5" t="inlineStr">
        <is>
          <t>28.500,00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=HYPERLINK("https://leilaoonline.net/lote/detalhe/218959", "32107")</f>
      </c>
      <c r="B70" s="4" t="s">
        <f>=HYPERLINK("https://leilaoonline.net/lote/detalhe/218959", "CAMINHÃO BOMBEIRO VOLKSWAGEN 26.220 EURO3 WORKER; ANO 2010/2010; BRANCO. - FR72515/FR72561. - LOC. BARRA")</f>
      </c>
      <c r="C70" s="4" t="inlineStr">
        <is>
          <t>Não vendido</t>
        </is>
      </c>
      <c r="D70" s="4" t="inlineStr">
        <is>
          <t>53</t>
        </is>
      </c>
      <c r="E70" s="5" t="inlineStr">
        <is>
          <t>111.000,00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=HYPERLINK("https://leilaoonline.net/lote/detalhe/219007", "32108")</f>
      </c>
      <c r="B71" s="4" t="s">
        <f>=HYPERLINK("https://leilaoonline.net/lote/detalhe/219007", "APROX. 19 PNEUS DIVERSOS. - S/FR. - LOC. SANTA ELISA")</f>
      </c>
      <c r="C71" s="4" t="inlineStr">
        <is>
          <t>Vendido</t>
        </is>
      </c>
      <c r="D71" s="4" t="inlineStr">
        <is>
          <t>5</t>
        </is>
      </c>
      <c r="E71" s="5" t="inlineStr">
        <is>
          <t>900,00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=HYPERLINK("https://leilaoonline.net/lote/detalhe/219151", "32109")</f>
      </c>
      <c r="B72" s="4" t="s">
        <f>=HYPERLINK("https://leilaoonline.net/lote/detalhe/219151", "APROX. 10 TON. DE SUCATA DE PLÁSTICOS EM GERAL; PAPÉIS; RAFIA E RECHEIO DE TORRE. - S/FR. - LOC. IPAUSSU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0,10</t>
        </is>
      </c>
      <c r="F72" s="4" t="inlineStr">
        <is>
          <t>0.01</t>
        </is>
      </c>
    </row>
    <row collapsed="false" customFormat="false" customHeight="false" hidden="false" ht="12.1" outlineLevel="0" r="73">
      <c r="A73" s="5" t="s">
        <f>=HYPERLINK("https://leilaoonline.net/lote/detalhe/219152", "32110")</f>
      </c>
      <c r="B73" s="4" t="s">
        <f>=HYPERLINK("https://leilaoonline.net/lote/detalhe/219152", "EMPILHADEIRA CLARK A GÁS; MOD. G300HY; 3000; ANO 1992. - S/FR. - LOC. MANAUS")</f>
      </c>
      <c r="C73" s="4" t="inlineStr">
        <is>
          <t>Não vendido</t>
        </is>
      </c>
      <c r="D73" s="4" t="inlineStr">
        <is>
          <t>11</t>
        </is>
      </c>
      <c r="E73" s="5" t="inlineStr">
        <is>
          <t>20.000,00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=HYPERLINK("https://leilaoonline.net/lote/detalhe/219153", "32111")</f>
      </c>
      <c r="B74" s="4" t="s">
        <f>=HYPERLINK("https://leilaoonline.net/lote/detalhe/219153", "CONJUNTO DE 07 MOTOBOMBAS; MOTOR WEG 110 KW / BOMBA FLOWSERVE 227 M³/H; ANO 2010. - S/FR. - LOC. GUARULHOS")</f>
      </c>
      <c r="C74" s="4" t="inlineStr">
        <is>
          <t>Vendido</t>
        </is>
      </c>
      <c r="D74" s="4" t="inlineStr">
        <is>
          <t>45</t>
        </is>
      </c>
      <c r="E74" s="5" t="inlineStr">
        <is>
          <t>72.500,00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=HYPERLINK("https://leilaoonline.net/lote/detalhe/219244", "32112")</f>
      </c>
      <c r="B75" s="4" t="s">
        <f>=HYPERLINK("https://leilaoonline.net/lote/detalhe/219244", "CAMINHÃO VOLKSWAGEN 31.330 CRC 6X4; ANO 2013/2014; BRANCO. - FR360473. - LOC. MUNDIAL")</f>
      </c>
      <c r="C75" s="4" t="inlineStr">
        <is>
          <t>Vendido</t>
        </is>
      </c>
      <c r="D75" s="4" t="inlineStr">
        <is>
          <t>114</t>
        </is>
      </c>
      <c r="E75" s="5" t="inlineStr">
        <is>
          <t>208.000,00</t>
        </is>
      </c>
      <c r="F75" s="4" t="inlineStr">
        <is>
          <t>2000.00</t>
        </is>
      </c>
    </row>
    <row collapsed="false" customFormat="false" customHeight="false" hidden="false" ht="12.1" outlineLevel="0" r="76">
      <c r="A76" s="5" t="s">
        <f>=HYPERLINK("https://leilaoonline.net/lote/detalhe/219247", "32113")</f>
      </c>
      <c r="B76" s="4" t="s">
        <f>=HYPERLINK("https://leilaoonline.net/lote/detalhe/219247", "APROX. 90 VÁLVULAS DE LINHA. - S/FR. - LOC. JATAÍ")</f>
      </c>
      <c r="C76" s="4" t="inlineStr">
        <is>
          <t>Vendido</t>
        </is>
      </c>
      <c r="D76" s="4" t="inlineStr">
        <is>
          <t>7</t>
        </is>
      </c>
      <c r="E76" s="5" t="inlineStr">
        <is>
          <t>1.100,00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=HYPERLINK("https://leilaoonline.net/lote/detalhe/219248", "32114")</f>
      </c>
      <c r="B77" s="4" t="s">
        <f>=HYPERLINK("https://leilaoonline.net/lote/detalhe/219248", "APROX. 70 CURVAS DE DERIVAÇÃO. - S/FR. - LOC. JATAÍ")</f>
      </c>
      <c r="C77" s="4" t="inlineStr">
        <is>
          <t>Vendido</t>
        </is>
      </c>
      <c r="D77" s="4" t="inlineStr">
        <is>
          <t>2</t>
        </is>
      </c>
      <c r="E77" s="5" t="inlineStr">
        <is>
          <t>600,00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=HYPERLINK("https://leilaoonline.net/lote/detalhe/219296", "32115")</f>
      </c>
      <c r="B78" s="4" t="s">
        <f>=HYPERLINK("https://leilaoonline.net/lote/detalhe/219296", "REB. SERGOMEL RSCPI 4E; ANO 2014/2014; CINZA. / SEMI-REB. SERGOMEL SRSCPPI 2E; ANO 2014/2014; CINIZA. - FR361758/FR361755. - LOC. SERRA")</f>
      </c>
      <c r="C78" s="4" t="inlineStr">
        <is>
          <t>Não vendido</t>
        </is>
      </c>
      <c r="D78" s="4" t="inlineStr">
        <is>
          <t>20</t>
        </is>
      </c>
      <c r="E78" s="5" t="inlineStr">
        <is>
          <t>49.000,00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=HYPERLINK("https://leilaoonline.net/lote/detalhe/219298", "32116")</f>
      </c>
      <c r="B79" s="4" t="s">
        <f>=HYPERLINK("https://leilaoonline.net/lote/detalhe/219298", "REB. SERGOMEL RSCPI 4E; ANO 2014/2014; CINZA. / SEMI-REB. SERGOMEL SRSCPI 2E; ANO 2014/2014; CINZA. - FR134088/FR17235. - LOC. SERRA")</f>
      </c>
      <c r="C79" s="4" t="inlineStr">
        <is>
          <t>Não vendido</t>
        </is>
      </c>
      <c r="D79" s="4" t="inlineStr">
        <is>
          <t>23</t>
        </is>
      </c>
      <c r="E79" s="5" t="inlineStr">
        <is>
          <t>52.000,00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=HYPERLINK("https://leilaoonline.net/lote/detalhe/219300", "32117")</f>
      </c>
      <c r="B80" s="4" t="s">
        <f>=HYPERLINK("https://leilaoonline.net/lote/detalhe/219300", "REB. SERGOMEL RSCPI 4E; ANO 2014/2014; CINZA. / SEMI-REB. SERGOMEL SRSCPI 2E; ANO 2014/2014; CINZA. - FR134106/FR134094. - LOC. SERRA")</f>
      </c>
      <c r="C80" s="4" t="inlineStr">
        <is>
          <t>Não vendido</t>
        </is>
      </c>
      <c r="D80" s="4" t="inlineStr">
        <is>
          <t>23</t>
        </is>
      </c>
      <c r="E80" s="5" t="inlineStr">
        <is>
          <t>52.000,00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=HYPERLINK("https://leilaoonline.net/lote/detalhe/219312", "32118")</f>
      </c>
      <c r="B81" s="4" t="s">
        <f>=HYPERLINK("https://leilaoonline.net/lote/detalhe/219312", "3 TROCADORES DE CALOR E 100 PLACAS DE INOX. - FR155441/FR155437/FR155440. - LOC. CAARAPÓ")</f>
      </c>
      <c r="C81" s="4" t="inlineStr">
        <is>
          <t>Não vendido</t>
        </is>
      </c>
      <c r="D81" s="4" t="inlineStr">
        <is>
          <t>31</t>
        </is>
      </c>
      <c r="E81" s="5" t="inlineStr">
        <is>
          <t>7.350,00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=HYPERLINK("https://leilaoonline.net/lote/detalhe/219313", "32119")</f>
      </c>
      <c r="B82" s="4" t="s">
        <f>=HYPERLINK("https://leilaoonline.net/lote/detalhe/219313", "APROX. 275 SUCATAS DE PNEUS DIVERSOS. - S/FR. - LOC. CAARAPÓ")</f>
      </c>
      <c r="C82" s="4" t="inlineStr">
        <is>
          <t>Vendido</t>
        </is>
      </c>
      <c r="D82" s="4" t="inlineStr">
        <is>
          <t>24</t>
        </is>
      </c>
      <c r="E82" s="5" t="inlineStr">
        <is>
          <t>7.200,00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=HYPERLINK("https://leilaoonline.net/lote/detalhe/219318", "32120")</f>
      </c>
      <c r="B83" s="4" t="s">
        <f>=HYPERLINK("https://leilaoonline.net/lote/detalhe/219318", "APROX. 1 TON DE SUCATA MISTA. (INOX; FERRO; COBRE E ELÊTRONICO.) - S/FR. - LOC. BARRA")</f>
      </c>
      <c r="C83" s="4" t="inlineStr">
        <is>
          <t>Não vendido</t>
        </is>
      </c>
      <c r="D83" s="4" t="inlineStr">
        <is>
          <t>10</t>
        </is>
      </c>
      <c r="E83" s="5" t="inlineStr">
        <is>
          <t>3.750,00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=HYPERLINK("https://leilaoonline.net/lote/detalhe/219320", "32121")</f>
      </c>
      <c r="B84" s="4" t="s">
        <f>=HYPERLINK("https://leilaoonline.net/lote/detalhe/219320", "APROX. 118 TUBOS DE 8" E 61 TUBOS DE 10" DE ALUMÍNIO DANIFICADOS. / TANQUE DE AÇO CARBONO; TIPO: RESERVATÓRIO DE ÁGUA. - S/FR. - LOC. SANTA CÂNDIDA")</f>
      </c>
      <c r="C84" s="4" t="inlineStr">
        <is>
          <t>Vendido</t>
        </is>
      </c>
      <c r="D84" s="4" t="inlineStr">
        <is>
          <t>91</t>
        </is>
      </c>
      <c r="E84" s="5" t="inlineStr">
        <is>
          <t>27.100,00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=HYPERLINK("https://leilaoonline.net/lote/detalhe/219322", "32122")</f>
      </c>
      <c r="B85" s="4" t="s">
        <f>=HYPERLINK("https://leilaoonline.net/lote/detalhe/219322", "CARREGADEIRA MASSEY FERGUSON 292 4X4; ANO 2011. - FR139354. - LOC. BARRA")</f>
      </c>
      <c r="C85" s="4" t="inlineStr">
        <is>
          <t>Não vendido</t>
        </is>
      </c>
      <c r="D85" s="4" t="inlineStr">
        <is>
          <t>53</t>
        </is>
      </c>
      <c r="E85" s="5" t="inlineStr">
        <is>
          <t>93.000,00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=HYPERLINK("https://leilaoonline.net/lote/detalhe/219137", "32561")</f>
      </c>
      <c r="B86" s="4" t="s">
        <f>=HYPERLINK("https://leilaoonline.net/lote/detalhe/219137", "TRATOR CASE MX 235 MAGNUM 4X4; ANO 2013. - FR10751. - LOC. ZANIN (ARARAQUARA)")</f>
      </c>
      <c r="C86" s="4" t="inlineStr">
        <is>
          <t>Vendido</t>
        </is>
      </c>
      <c r="D86" s="4" t="inlineStr">
        <is>
          <t>47</t>
        </is>
      </c>
      <c r="E86" s="5" t="inlineStr">
        <is>
          <t>81.000,00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=HYPERLINK("https://leilaoonline.net/lote/detalhe/219134", "32562")</f>
      </c>
      <c r="B87" s="4" t="s">
        <f>=HYPERLINK("https://leilaoonline.net/lote/detalhe/219134", "TRATOR VALTRA BM 125i 4X4; ANO 2013. - FR360750. - LOC. ZANIN (ARARAQUARA)")</f>
      </c>
      <c r="C87" s="4" t="inlineStr">
        <is>
          <t>Vendido</t>
        </is>
      </c>
      <c r="D87" s="4" t="inlineStr">
        <is>
          <t>75</t>
        </is>
      </c>
      <c r="E87" s="5" t="inlineStr">
        <is>
          <t>109.000,00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=HYPERLINK("https://leilaoonline.net/lote/detalhe/219135", "32563")</f>
      </c>
      <c r="B88" s="4" t="s">
        <f>=HYPERLINK("https://leilaoonline.net/lote/detalhe/219135", "TRATOR CASE MAXXUM 180 4X4; ANO 2010. - FR93329. - LOC. ZANIN (ARARAQUARA)")</f>
      </c>
      <c r="C88" s="4" t="inlineStr">
        <is>
          <t>Vendido</t>
        </is>
      </c>
      <c r="D88" s="4" t="inlineStr">
        <is>
          <t>36</t>
        </is>
      </c>
      <c r="E88" s="5" t="inlineStr">
        <is>
          <t>70.000,00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=HYPERLINK("https://leilaoonline.net/lote/detalhe/218660", "32567")</f>
      </c>
      <c r="B89" s="4" t="s">
        <f>=HYPERLINK("https://leilaoonline.net/lote/detalhe/218660", "DESINLEIRADOR/ ENLEIRADOR NEW HOLLAND H5980; VERMELHO. - FR1101. - LOC. BIOMASSA")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3.000,00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=HYPERLINK("https://leilaoonline.net/lote/detalhe/218659", "32568")</f>
      </c>
      <c r="B90" s="4" t="s">
        <f>=HYPERLINK("https://leilaoonline.net/lote/detalhe/218659", "DESINLEIRADOR/ ENLEIRADOR NEW HOLLAND; AMARELO; ANO 2018. - FR7011590. - LOC. BIOMASSA")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3.000,00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=HYPERLINK("https://leilaoonline.net/lote/detalhe/218658", "32576")</f>
      </c>
      <c r="B91" s="4" t="s">
        <f>=HYPERLINK("https://leilaoonline.net/lote/detalhe/218658", "CARRETA SERVIÇOS DIVERSOS; ANO 2008. - FR71024. - LOC. DIAMANTE")</f>
      </c>
      <c r="C91" s="4" t="inlineStr">
        <is>
          <t>Não vendido</t>
        </is>
      </c>
      <c r="D91" s="4" t="inlineStr">
        <is>
          <t>4</t>
        </is>
      </c>
      <c r="E91" s="5" t="inlineStr">
        <is>
          <t>2.100,00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=HYPERLINK("https://leilaoonline.net/lote/detalhe/216780", "32591")</f>
      </c>
      <c r="B92" s="4" t="s">
        <f>=HYPERLINK("https://leilaoonline.net/lote/detalhe/216780", "SEMI REBOQUE RANDON SR CA; ANO 2006/2007; VERDE. -  FR3628 - LOC. PASSATEMPO")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15.000,00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=HYPERLINK("https://leilaoonline.net/lote/detalhe/216779", "32595")</f>
      </c>
      <c r="B93" s="4" t="s">
        <f>=HYPERLINK("https://leilaoonline.net/lote/detalhe/216779", "SEMI REBOQUE RANDON SRCA CA; ANO 2007/2007; AZUL. - FR4693. - LOC. PASSATEMPO")</f>
      </c>
      <c r="C93" s="4" t="inlineStr">
        <is>
          <t>Vendido</t>
        </is>
      </c>
      <c r="D93" s="4" t="inlineStr">
        <is>
          <t>1</t>
        </is>
      </c>
      <c r="E93" s="5" t="inlineStr">
        <is>
          <t>15.000,00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=HYPERLINK("https://leilaoonline.net/lote/detalhe/216846", "32598")</f>
      </c>
      <c r="B94" s="4" t="s">
        <f>=HYPERLINK("https://leilaoonline.net/lote/detalhe/216846", "TRANSBORDO SANTAL; ANO 2010. - FR5004767. - LOC. PASSATEMPO")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10.000,00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=HYPERLINK("https://leilaoonline.net/lote/detalhe/218643", "32604")</f>
      </c>
      <c r="B95" s="4" t="s">
        <f>=HYPERLINK("https://leilaoonline.net/lote/detalhe/218643", "ENXADA ROTATIVA HOWARD; ANO 2014. - FR48159. - LOC. IPAUSSU")</f>
      </c>
      <c r="C95" s="4" t="inlineStr">
        <is>
          <t>Não vendido</t>
        </is>
      </c>
      <c r="D95" s="4" t="inlineStr">
        <is>
          <t>3</t>
        </is>
      </c>
      <c r="E95" s="5" t="inlineStr">
        <is>
          <t>3.500,00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=HYPERLINK("https://leilaoonline.net/lote/detalhe/216879", "32759")</f>
      </c>
      <c r="B96" s="4" t="s">
        <f>=HYPERLINK("https://leilaoonline.net/lote/detalhe/216879", "TRANSBORDO ANTONIOSI; ATA 12000; ANO 2015. - FR188702. - LOC. GASA ")</f>
      </c>
      <c r="C96" s="4" t="inlineStr">
        <is>
          <t>Vendido</t>
        </is>
      </c>
      <c r="D96" s="4" t="inlineStr">
        <is>
          <t>16</t>
        </is>
      </c>
      <c r="E96" s="5" t="inlineStr">
        <is>
          <t>25.000,00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=HYPERLINK("https://leilaoonline.net/lote/detalhe/216866", "32760")</f>
      </c>
      <c r="B97" s="4" t="s">
        <f>=HYPERLINK("https://leilaoonline.net/lote/detalhe/216866", "TRANSBORDO ANTONIOSI; ATA 12000; ANO 2015. - FR188707. - LOC. GASA")</f>
      </c>
      <c r="C97" s="4" t="inlineStr">
        <is>
          <t>Não vendido</t>
        </is>
      </c>
      <c r="D97" s="4" t="inlineStr">
        <is>
          <t>4</t>
        </is>
      </c>
      <c r="E97" s="5" t="inlineStr">
        <is>
          <t>13.000,00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=HYPERLINK("https://leilaoonline.net/lote/detalhe/216871", "32761")</f>
      </c>
      <c r="B98" s="4" t="s">
        <f>=HYPERLINK("https://leilaoonline.net/lote/detalhe/216871", "TRANSBORDO ANTONIOSI; ATA 12000; ANO 2015. - FR188722. - LOC. GASA")</f>
      </c>
      <c r="C98" s="4" t="inlineStr">
        <is>
          <t>Não vendido</t>
        </is>
      </c>
      <c r="D98" s="4" t="inlineStr">
        <is>
          <t>8</t>
        </is>
      </c>
      <c r="E98" s="5" t="inlineStr">
        <is>
          <t>17.000,00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=HYPERLINK("https://leilaoonline.net/lote/detalhe/216872", "32762")</f>
      </c>
      <c r="B99" s="4" t="s">
        <f>=HYPERLINK("https://leilaoonline.net/lote/detalhe/216872", "TRANSBORDO ANTONIOSI ATA 12.000 12T; ANO 2015. - FR188726. - LOC. GASA ")</f>
      </c>
      <c r="C99" s="4" t="inlineStr">
        <is>
          <t>Não vendido</t>
        </is>
      </c>
      <c r="D99" s="4" t="inlineStr">
        <is>
          <t>9</t>
        </is>
      </c>
      <c r="E99" s="5" t="inlineStr">
        <is>
          <t>18.000,00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=HYPERLINK("https://leilaoonline.net/lote/detalhe/216772", "32764")</f>
      </c>
      <c r="B100" s="4" t="s">
        <f>=HYPERLINK("https://leilaoonline.net/lote/detalhe/216772", "COLHEDORA DE CANA JHON DEERE 3510; ANO 2008. - FR101438. - LOC. GASA")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20.000,00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=HYPERLINK("https://leilaoonline.net/lote/detalhe/216773", "32765")</f>
      </c>
      <c r="B101" s="4" t="s">
        <f>=HYPERLINK("https://leilaoonline.net/lote/detalhe/216773", "COLHEDORA DE CANA JHON DEERE; ANO 2008. - FR62213. - LOC. GASA")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20.000,00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=HYPERLINK("https://leilaoonline.net/lote/detalhe/216877", "32766")</f>
      </c>
      <c r="B102" s="4" t="s">
        <f>=HYPERLINK("https://leilaoonline.net/lote/detalhe/216877", "TRANSBORDO SANTAL; ANO 2013. - FR88953. - LOC. GASA")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10.000,00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=HYPERLINK("https://leilaoonline.net/lote/detalhe/216858", "32767")</f>
      </c>
      <c r="B103" s="4" t="s">
        <f>=HYPERLINK("https://leilaoonline.net/lote/detalhe/216858", "TRANSBORDO SANTAL; ANO 2013. - FR88954. - LOC. GASA")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10.000,00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=HYPERLINK("https://leilaoonline.net/lote/detalhe/216860", "32769")</f>
      </c>
      <c r="B104" s="4" t="s">
        <f>=HYPERLINK("https://leilaoonline.net/lote/detalhe/216860", "TRANSBORDO; ANO 2009. - FR84973.- LOC. GASA")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=HYPERLINK("https://leilaoonline.net/lote/detalhe/216775", "32772")</f>
      </c>
      <c r="B105" s="4" t="s">
        <f>=HYPERLINK("https://leilaoonline.net/lote/detalhe/216775", "PLANTADORA; ANO 2014. - FR140010. - LOC. MUNDIAL")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10.000,00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=HYPERLINK("https://leilaoonline.net/lote/detalhe/216852", "32779")</f>
      </c>
      <c r="B106" s="4" t="s">
        <f>=HYPERLINK("https://leilaoonline.net/lote/detalhe/216852", "TRANSBORDO SANTAL; ANO 2015. - FR173167. - LOC. BENALCOOL")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=HYPERLINK("https://leilaoonline.net/lote/detalhe/216850", "32780")</f>
      </c>
      <c r="B107" s="4" t="s">
        <f>=HYPERLINK("https://leilaoonline.net/lote/detalhe/216850", "TRANSBORDO SANTAL; ANO 2014. - FR173152. - LOC. BENALCOOL")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10.000,00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=HYPERLINK("https://leilaoonline.net/lote/detalhe/216833", "32789")</f>
      </c>
      <c r="B108" s="4" t="s">
        <f>=HYPERLINK("https://leilaoonline.net/lote/detalhe/216833", "CARRETA DISTRIBUIDORA DE TORTA; ANO 2006. - FR84868. - LOC. BENALCOOL")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=HYPERLINK("https://leilaoonline.net/lote/detalhe/216781", "32801")</f>
      </c>
      <c r="B109" s="4" t="s">
        <f>=HYPERLINK("https://leilaoonline.net/lote/detalhe/216781", " 2 CONJUNTOS DE ESCADA E BRAÇO ARTICULADO PARA ABSTECIMENTO. - FR293878/FR292340/FR292802/FR292951/FR293420. - LOC. PASSATEMPO")</f>
      </c>
      <c r="C109" s="4" t="inlineStr">
        <is>
          <t>Não vendido</t>
        </is>
      </c>
      <c r="D109" s="4" t="inlineStr">
        <is>
          <t>1</t>
        </is>
      </c>
      <c r="E109" s="5" t="inlineStr">
        <is>
          <t>500,00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=HYPERLINK("https://leilaoonline.net/lote/detalhe/218774", "32803")</f>
      </c>
      <c r="B110" s="4" t="s">
        <f>=HYPERLINK("https://leilaoonline.net/lote/detalhe/218774", "TRANSBORDO CIVEMASSA TAC 13000; ANO 2006. - FR4004104. - LOC. PASSATEMPO")</f>
      </c>
      <c r="C110" s="4" t="inlineStr">
        <is>
          <t>Vendido</t>
        </is>
      </c>
      <c r="D110" s="4" t="inlineStr">
        <is>
          <t>3</t>
        </is>
      </c>
      <c r="E110" s="5" t="inlineStr">
        <is>
          <t>12.000,00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=HYPERLINK("https://leilaoonline.net/lote/detalhe/216867", "32815")</f>
      </c>
      <c r="B111" s="4" t="s">
        <f>=HYPERLINK("https://leilaoonline.net/lote/detalhe/216867", "REBOQUE ANTONINI; ANO 1994/1994; AZUL. - FR14004342. - LOC. RIO BRILHANTE")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10.000,00</t>
        </is>
      </c>
      <c r="F111" s="4" t="inlineStr">
        <is>
          <t>1000.00</t>
        </is>
      </c>
    </row>
    <row collapsed="false" customFormat="false" customHeight="false" hidden="false" ht="12.1" outlineLevel="0" r="112">
      <c r="A112" s="5" t="s">
        <f>=HYPERLINK("https://leilaoonline.net/lote/detalhe/218661", "32818")</f>
      </c>
      <c r="B112" s="4" t="s">
        <f>=HYPERLINK("https://leilaoonline.net/lote/detalhe/218661", "SEMI REBOQUE RANDON SRCA CA; ANO 2007/2007; AZUL. (DOLLY SERÁ VENDIDO SEM DIREITO A DOCUMENTAÇÃO.) - FR3146/FR4451560. - LOC. RIO BRILHANTE")</f>
      </c>
      <c r="C112" s="4" t="inlineStr">
        <is>
          <t>Vendido</t>
        </is>
      </c>
      <c r="D112" s="4" t="inlineStr">
        <is>
          <t>1</t>
        </is>
      </c>
      <c r="E112" s="5" t="inlineStr">
        <is>
          <t>20.000,00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=HYPERLINK("https://leilaoonline.net/lote/detalhe/216869", "32820")</f>
      </c>
      <c r="B113" s="4" t="s">
        <f>=HYPERLINK("https://leilaoonline.net/lote/detalhe/216869", "REBOQUE RANDON RQ CA; ANO 2007/2007; AZUL. - FR4667. - LOC. RIO BRILHANTE")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20.000,00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=HYPERLINK("https://leilaoonline.net/lote/detalhe/217843", "32826")</f>
      </c>
      <c r="B114" s="4" t="s">
        <f>=HYPERLINK("https://leilaoonline.net/lote/detalhe/217843", "UNIDADE DE CALIBRAÇÃO CAPAC. 5000L; ANO 2015. - FR192502. - LOC. CAARAPÓ")</f>
      </c>
      <c r="C114" s="4" t="inlineStr">
        <is>
          <t>Não vendido</t>
        </is>
      </c>
      <c r="D114" s="4" t="inlineStr">
        <is>
          <t>5</t>
        </is>
      </c>
      <c r="E114" s="5" t="inlineStr">
        <is>
          <t>1.800,00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=HYPERLINK("https://leilaoonline.net/lote/detalhe/216836", "32848")</f>
      </c>
      <c r="B115" s="4" t="s">
        <f>=HYPERLINK("https://leilaoonline.net/lote/detalhe/216836", "COLHEDORA JOHN DEERE 3510; ANO 2008. - FR101432. - LOC. GASA")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20.000,00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=HYPERLINK("https://leilaoonline.net/lote/detalhe/216865", "32849")</f>
      </c>
      <c r="B116" s="4" t="s">
        <f>=HYPERLINK("https://leilaoonline.net/lote/detalhe/216865", "TRANSBORDO ANTONIOSI ATA 12000; CAP. 12 TON. ANO 2015. - FR188715. - LOC. GASA")</f>
      </c>
      <c r="C116" s="4" t="inlineStr">
        <is>
          <t>Não vendido</t>
        </is>
      </c>
      <c r="D116" s="4" t="inlineStr">
        <is>
          <t>9</t>
        </is>
      </c>
      <c r="E116" s="5" t="inlineStr">
        <is>
          <t>18.000,00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=HYPERLINK("https://leilaoonline.net/lote/detalhe/216854", "32850")</f>
      </c>
      <c r="B117" s="4" t="s">
        <f>=HYPERLINK("https://leilaoonline.net/lote/detalhe/216854", "TRANSBORDO ANTONIOSI ATA 12000; CAP. 12 TON. ANO 2015. - FR188717. - LOC. GASA")</f>
      </c>
      <c r="C117" s="4" t="inlineStr">
        <is>
          <t>Não vendido</t>
        </is>
      </c>
      <c r="D117" s="4" t="inlineStr">
        <is>
          <t>4</t>
        </is>
      </c>
      <c r="E117" s="5" t="inlineStr">
        <is>
          <t>13.000,00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=HYPERLINK("https://leilaoonline.net/lote/detalhe/216853", "32851")</f>
      </c>
      <c r="B118" s="4" t="s">
        <f>=HYPERLINK("https://leilaoonline.net/lote/detalhe/216853", "TRANSBORDO ANTONIOSI ATA 12000; CAP. 12 TON. ANO 2015. - FR188731. - LOC. GASA")</f>
      </c>
      <c r="C118" s="4" t="inlineStr">
        <is>
          <t>Não vendido</t>
        </is>
      </c>
      <c r="D118" s="4" t="inlineStr">
        <is>
          <t>4</t>
        </is>
      </c>
      <c r="E118" s="5" t="inlineStr">
        <is>
          <t>13.000,00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=HYPERLINK("https://leilaoonline.net/lote/detalhe/216834", "32852")</f>
      </c>
      <c r="B119" s="4" t="s">
        <f>=HYPERLINK("https://leilaoonline.net/lote/detalhe/216834", "COLHEDORA JOHN DEERE 3522; ANO 2008. - FR188002. - LOC. GASA")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20.000,00</t>
        </is>
      </c>
      <c r="F119" s="4" t="inlineStr">
        <is>
          <t>1000.00</t>
        </is>
      </c>
    </row>
    <row collapsed="false" customFormat="false" customHeight="false" hidden="false" ht="12.1" outlineLevel="0" r="120">
      <c r="A120" s="5" t="s">
        <f>=HYPERLINK("https://leilaoonline.net/lote/detalhe/216835", "32853")</f>
      </c>
      <c r="B120" s="4" t="s">
        <f>=HYPERLINK("https://leilaoonline.net/lote/detalhe/216835", "REBOQUE RANDONSP CA; ANO 2012/2013; CINZA. - FR112531. - LOC. GASA")</f>
      </c>
      <c r="C120" s="4" t="inlineStr">
        <is>
          <t>Não vendido</t>
        </is>
      </c>
      <c r="D120" s="4" t="inlineStr">
        <is>
          <t>1</t>
        </is>
      </c>
      <c r="E120" s="5" t="inlineStr">
        <is>
          <t>26.000,00</t>
        </is>
      </c>
      <c r="F120" s="4" t="inlineStr">
        <is>
          <t>1000.00</t>
        </is>
      </c>
    </row>
    <row collapsed="false" customFormat="false" customHeight="false" hidden="false" ht="12.1" outlineLevel="0" r="121">
      <c r="A121" s="5" t="s">
        <f>=HYPERLINK("https://leilaoonline.net/lote/detalhe/216838", "32857")</f>
      </c>
      <c r="B121" s="4" t="s">
        <f>=HYPERLINK("https://leilaoonline.net/lote/detalhe/216838", "TRANSBORDO SANTAL; ANO 2011. - FR91293. - LOC. MUNDIAL")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10.000,00</t>
        </is>
      </c>
      <c r="F121" s="4" t="inlineStr">
        <is>
          <t>1000.00</t>
        </is>
      </c>
    </row>
    <row collapsed="false" customFormat="false" customHeight="false" hidden="false" ht="12.1" outlineLevel="0" r="122">
      <c r="A122" s="5" t="s">
        <f>=HYPERLINK("https://leilaoonline.net/lote/detalhe/218670", "32865")</f>
      </c>
      <c r="B122" s="4" t="s">
        <f>=HYPERLINK("https://leilaoonline.net/lote/detalhe/218670", "CAMINHÃO MERCEDES BENZ AXOR 3344S 6X4; ANO 2014/2014; BRANCO. - FR362060 - LOC. BONFIM ")</f>
      </c>
      <c r="C122" s="4" t="inlineStr">
        <is>
          <t>Não vendido</t>
        </is>
      </c>
      <c r="D122" s="4" t="inlineStr">
        <is>
          <t>44</t>
        </is>
      </c>
      <c r="E122" s="5" t="inlineStr">
        <is>
          <t>76.000,00</t>
        </is>
      </c>
      <c r="F122" s="4" t="inlineStr">
        <is>
          <t>1000.00</t>
        </is>
      </c>
    </row>
    <row collapsed="false" customFormat="false" customHeight="false" hidden="false" ht="12.1" outlineLevel="0" r="123">
      <c r="A123" s="5" t="s">
        <f>=HYPERLINK("https://leilaoonline.net/lote/detalhe/218671", "32886")</f>
      </c>
      <c r="B123" s="4" t="s">
        <f>=HYPERLINK("https://leilaoonline.net/lote/detalhe/218671", "1 ENXADA ROTATIVA HOWARD CH 3000 E 2  LAMINAS; ANO 2006. - FR92870/FR122102. - LOC. BONFIM")</f>
      </c>
      <c r="C123" s="4" t="inlineStr">
        <is>
          <t>Vendido</t>
        </is>
      </c>
      <c r="D123" s="4" t="inlineStr">
        <is>
          <t>15</t>
        </is>
      </c>
      <c r="E123" s="5" t="inlineStr">
        <is>
          <t>10.000,00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=HYPERLINK("https://leilaoonline.net/lote/detalhe/216844", "32889")</f>
      </c>
      <c r="B124" s="4" t="s">
        <f>=HYPERLINK("https://leilaoonline.net/lote/detalhe/216844", "VOLKSWAGEN SANTANA; ANO 1999/2000; PRATA. - FR118820. - LOC. BONFIM")</f>
      </c>
      <c r="C124" s="4" t="inlineStr">
        <is>
          <t>Não vendido</t>
        </is>
      </c>
      <c r="D124" s="4" t="inlineStr">
        <is>
          <t>6</t>
        </is>
      </c>
      <c r="E124" s="5" t="inlineStr">
        <is>
          <t>3.250,00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=HYPERLINK("https://leilaoonline.net/lote/detalhe/216859", "32895")</f>
      </c>
      <c r="B125" s="4" t="s">
        <f>=HYPERLINK("https://leilaoonline.net/lote/detalhe/216859", "SEMI-REBOQUE USICAMP SRCP E2 10000; ANO 2008/2008; AZUL. - FR10247. - LOC. ZANIN")</f>
      </c>
      <c r="C125" s="4" t="inlineStr">
        <is>
          <t>Vendido</t>
        </is>
      </c>
      <c r="D125" s="4" t="inlineStr">
        <is>
          <t>2</t>
        </is>
      </c>
      <c r="E125" s="5" t="inlineStr">
        <is>
          <t>26.000,00</t>
        </is>
      </c>
      <c r="F125" s="4" t="inlineStr">
        <is>
          <t>1000.00</t>
        </is>
      </c>
    </row>
    <row collapsed="false" customFormat="false" customHeight="false" hidden="false" ht="12.1" outlineLevel="0" r="126">
      <c r="A126" s="5" t="s">
        <f>=HYPERLINK("https://leilaoonline.net/lote/detalhe/219239", "32898")</f>
      </c>
      <c r="B126" s="4" t="s">
        <f>=HYPERLINK("https://leilaoonline.net/lote/detalhe/219239", "REBOQUE RANDON RQ CP HI; ANO 2010/2010; AZUL. - FR93633. - LOC. ZANIN")</f>
      </c>
      <c r="C126" s="4" t="inlineStr">
        <is>
          <t>Vendido</t>
        </is>
      </c>
      <c r="D126" s="4" t="inlineStr">
        <is>
          <t>5</t>
        </is>
      </c>
      <c r="E126" s="5" t="inlineStr">
        <is>
          <t>29.000,00</t>
        </is>
      </c>
      <c r="F126" s="4" t="inlineStr">
        <is>
          <t>1000.00</t>
        </is>
      </c>
    </row>
    <row collapsed="false" customFormat="false" customHeight="false" hidden="false" ht="12.1" outlineLevel="0" r="127">
      <c r="A127" s="5" t="s">
        <f>=HYPERLINK("https://leilaoonline.net/lote/detalhe/216784", "32909")</f>
      </c>
      <c r="B127" s="4" t="s">
        <f>=HYPERLINK("https://leilaoonline.net/lote/detalhe/216784", "COLHEDORA JOHN DEERE; ANO 2013. - FR10069. - LOC. BARRA")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20.000,00</t>
        </is>
      </c>
      <c r="F127" s="4" t="inlineStr">
        <is>
          <t>1000.00</t>
        </is>
      </c>
    </row>
    <row collapsed="false" customFormat="false" customHeight="false" hidden="false" ht="12.1" outlineLevel="0" r="128">
      <c r="A128" s="5" t="s">
        <f>=HYPERLINK("https://leilaoonline.net/lote/detalhe/216782", "32910")</f>
      </c>
      <c r="B128" s="4" t="s">
        <f>=HYPERLINK("https://leilaoonline.net/lote/detalhe/216782", "COLHEDORA JOHN DEERE; ANO 2011. - FR128513. - LOC. BARRA")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20.000,00</t>
        </is>
      </c>
      <c r="F128" s="4" t="inlineStr">
        <is>
          <t>1000.00</t>
        </is>
      </c>
    </row>
    <row collapsed="false" customFormat="false" customHeight="false" hidden="false" ht="12.1" outlineLevel="0" r="129">
      <c r="A129" s="5" t="s">
        <f>=HYPERLINK("https://leilaoonline.net/lote/detalhe/218662", "32932")</f>
      </c>
      <c r="B129" s="4" t="s">
        <f>=HYPERLINK("https://leilaoonline.net/lote/detalhe/218662", "HIDRO ROLL TURBOMAQ. - FR20164. - LOC. SANTA CÂNDIDA")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3.000,00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=HYPERLINK("https://leilaoonline.net/lote/detalhe/217844", "32933")</f>
      </c>
      <c r="B130" s="4" t="s">
        <f>=HYPERLINK("https://leilaoonline.net/lote/detalhe/217844", "HIDRO ROLL. - FR20888. - LOC. SANTA CÂNDIDA")</f>
      </c>
      <c r="C130" s="4" t="inlineStr">
        <is>
          <t>Vendido</t>
        </is>
      </c>
      <c r="D130" s="4" t="inlineStr">
        <is>
          <t>1</t>
        </is>
      </c>
      <c r="E130" s="5" t="inlineStr">
        <is>
          <t>3.000,00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=HYPERLINK("https://leilaoonline.net/lote/detalhe/217869", "32934")</f>
      </c>
      <c r="B131" s="4" t="s">
        <f>=HYPERLINK("https://leilaoonline.net/lote/detalhe/217869", "TRATOR VALTRA BH 210; ANO 2015. - FR18065. - LOC. SANTA CÂNDIDA")</f>
      </c>
      <c r="C131" s="4" t="inlineStr">
        <is>
          <t>Vendido</t>
        </is>
      </c>
      <c r="D131" s="4" t="inlineStr">
        <is>
          <t>87</t>
        </is>
      </c>
      <c r="E131" s="5" t="inlineStr">
        <is>
          <t>240.000,00</t>
        </is>
      </c>
      <c r="F131" s="4" t="inlineStr">
        <is>
          <t>2000.00</t>
        </is>
      </c>
    </row>
    <row collapsed="false" customFormat="false" customHeight="false" hidden="false" ht="12.1" outlineLevel="0" r="132">
      <c r="A132" s="5" t="s">
        <f>=HYPERLINK("https://leilaoonline.net/lote/detalhe/219315", "32937")</f>
      </c>
      <c r="B132" s="4" t="s">
        <f>=HYPERLINK("https://leilaoonline.net/lote/detalhe/219315", " SUCATA ELÉTRICA; ELETRÔNICOS; LUMINÁRIA; MÁQUINA DE SOLDA; BETONEIRA E 2 CARCAÇAS DE MOTOR. - S/FR. - LOC. SANTA CÂNDIDA")</f>
      </c>
      <c r="C132" s="4" t="inlineStr">
        <is>
          <t>Não vendido</t>
        </is>
      </c>
      <c r="D132" s="4" t="inlineStr">
        <is>
          <t>5</t>
        </is>
      </c>
      <c r="E132" s="5" t="inlineStr">
        <is>
          <t>1.750,00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=HYPERLINK("https://leilaoonline.net/lote/detalhe/217868", "32938")</f>
      </c>
      <c r="B133" s="4" t="s">
        <f>=HYPERLINK("https://leilaoonline.net/lote/detalhe/217868", "CARREGADEIRA MOTO CANA MASSEY FERGUSON; ANO 2010. - FR70687. - LOC. DIAMANTE")</f>
      </c>
      <c r="C133" s="4" t="inlineStr">
        <is>
          <t>Não vendido</t>
        </is>
      </c>
      <c r="D133" s="4" t="inlineStr">
        <is>
          <t>60</t>
        </is>
      </c>
      <c r="E133" s="5" t="inlineStr">
        <is>
          <t>102.000,00</t>
        </is>
      </c>
      <c r="F133" s="4" t="inlineStr">
        <is>
          <t>1000.00</t>
        </is>
      </c>
    </row>
    <row collapsed="false" customFormat="false" customHeight="false" hidden="false" ht="12.1" outlineLevel="0" r="134">
      <c r="A134" s="5" t="s">
        <f>=HYPERLINK("https://leilaoonline.net/lote/detalhe/216783", "32939")</f>
      </c>
      <c r="B134" s="4" t="s">
        <f>=HYPERLINK("https://leilaoonline.net/lote/detalhe/216783", "COLHEDORA JOHN DEERE; ANO 2010. - FR50145. - LOC. DIAMANTE")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20.000,00</t>
        </is>
      </c>
      <c r="F134" s="4" t="inlineStr">
        <is>
          <t>1000.00</t>
        </is>
      </c>
    </row>
    <row collapsed="false" customFormat="false" customHeight="false" hidden="false" ht="12.1" outlineLevel="0" r="135">
      <c r="A135" s="5" t="s">
        <f>=HYPERLINK("https://leilaoonline.net/lote/detalhe/219246", "32944")</f>
      </c>
      <c r="B135" s="4" t="s">
        <f>=HYPERLINK("https://leilaoonline.net/lote/detalhe/219246", "CAMINHÃO VOLKSWAGEN 26.220 EURO3 WORKER; ANO 2008/2009; BRANCO. - FR163108. - LOC. JATAÍ ")</f>
      </c>
      <c r="C135" s="4" t="inlineStr">
        <is>
          <t>Vendido</t>
        </is>
      </c>
      <c r="D135" s="4" t="inlineStr">
        <is>
          <t>57</t>
        </is>
      </c>
      <c r="E135" s="5" t="inlineStr">
        <is>
          <t>96.000,00</t>
        </is>
      </c>
      <c r="F135" s="4" t="inlineStr">
        <is>
          <t>1000.00</t>
        </is>
      </c>
    </row>
    <row collapsed="false" customFormat="false" customHeight="false" hidden="false" ht="12.1" outlineLevel="0" r="136">
      <c r="A136" s="5" t="s">
        <f>=HYPERLINK("https://leilaoonline.net/lote/detalhe/217616", "32945")</f>
      </c>
      <c r="B136" s="4" t="s">
        <f>=HYPERLINK("https://leilaoonline.net/lote/detalhe/217616", "CAMINHÃO VOLKSWAGEN 26.220 EURO3 WORKER; ANO 2008/2009; BRANCO. - FR163125. - LOC. JATAÍ ")</f>
      </c>
      <c r="C136" s="4" t="inlineStr">
        <is>
          <t>Vendido</t>
        </is>
      </c>
      <c r="D136" s="4" t="inlineStr">
        <is>
          <t>75</t>
        </is>
      </c>
      <c r="E136" s="5" t="inlineStr">
        <is>
          <t>117.000,00</t>
        </is>
      </c>
      <c r="F136" s="4" t="inlineStr">
        <is>
          <t>1000.00</t>
        </is>
      </c>
    </row>
    <row collapsed="false" customFormat="false" customHeight="false" hidden="false" ht="12.1" outlineLevel="0" r="137">
      <c r="A137" s="5" t="s">
        <f>=HYPERLINK("https://leilaoonline.net/lote/detalhe/218665", "32949")</f>
      </c>
      <c r="B137" s="4" t="s">
        <f>=HYPERLINK("https://leilaoonline.net/lote/detalhe/218665", "SEMI-REBOQUE RODOLINEA RODOTQ 2E; ANO 2013/2013; CINZA. - FR163822. - LOC. JATAÍ")</f>
      </c>
      <c r="C137" s="4" t="inlineStr">
        <is>
          <t>Vendido</t>
        </is>
      </c>
      <c r="D137" s="4" t="inlineStr">
        <is>
          <t>7</t>
        </is>
      </c>
      <c r="E137" s="5" t="inlineStr">
        <is>
          <t>16.000,00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=HYPERLINK("https://leilaoonline.net/lote/detalhe/217617", "32953")</f>
      </c>
      <c r="B138" s="4" t="s">
        <f>=HYPERLINK("https://leilaoonline.net/lote/detalhe/217617", "CAMINHÃO VOLKSWAGEN 26.280 CRM 6X4; ANO 2012/2013; BRANCO. - FR163200. - LOC. JATAÍ ")</f>
      </c>
      <c r="C138" s="4" t="inlineStr">
        <is>
          <t>Não vendido</t>
        </is>
      </c>
      <c r="D138" s="4" t="inlineStr">
        <is>
          <t>82</t>
        </is>
      </c>
      <c r="E138" s="5" t="inlineStr">
        <is>
          <t>144.000,00</t>
        </is>
      </c>
      <c r="F138" s="4" t="inlineStr">
        <is>
          <t>2000.00</t>
        </is>
      </c>
    </row>
    <row collapsed="false" customFormat="false" customHeight="false" hidden="false" ht="12.1" outlineLevel="0" r="139">
      <c r="A139" s="5" t="s">
        <f>=HYPERLINK("https://leilaoonline.net/lote/detalhe/217856", "32954")</f>
      </c>
      <c r="B139" s="4" t="s">
        <f>=HYPERLINK("https://leilaoonline.net/lote/detalhe/217856", "PREPARADOR DE SOLO PENTA LIPOW; ANO 2012. - FR103496. - LOC. JATAÍ")</f>
      </c>
      <c r="C139" s="4" t="inlineStr">
        <is>
          <t>Não vendido</t>
        </is>
      </c>
      <c r="D139" s="4" t="inlineStr">
        <is>
          <t>1</t>
        </is>
      </c>
      <c r="E139" s="5" t="inlineStr">
        <is>
          <t>1.000,00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=HYPERLINK("https://leilaoonline.net/lote/detalhe/217855", "32955")</f>
      </c>
      <c r="B140" s="4" t="s">
        <f>=HYPERLINK("https://leilaoonline.net/lote/detalhe/217855", "ENXADA ROTATIVA HOWARD ENGUNERING LIMITED; ANO 2014. - FR84719. - LOC. JATAÍ")</f>
      </c>
      <c r="C140" s="4" t="inlineStr">
        <is>
          <t>Não vendido</t>
        </is>
      </c>
      <c r="D140" s="4" t="inlineStr">
        <is>
          <t>10</t>
        </is>
      </c>
      <c r="E140" s="5" t="inlineStr">
        <is>
          <t>3.000,00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=HYPERLINK("https://leilaoonline.net/lote/detalhe/218675", "32964")</f>
      </c>
      <c r="B141" s="4" t="s">
        <f>=HYPERLINK("https://leilaoonline.net/lote/detalhe/218675", " 2 CARRETAS DE TRANSPORTE DE TUBOS; 1 CARRETA SERVIÇOS DIVERSOS. - FR1003132/FR14003247/FR14003601. - LOC. SANTA ELISA")</f>
      </c>
      <c r="C141" s="4" t="inlineStr">
        <is>
          <t>Não vendido</t>
        </is>
      </c>
      <c r="D141" s="4" t="inlineStr">
        <is>
          <t>15</t>
        </is>
      </c>
      <c r="E141" s="5" t="inlineStr">
        <is>
          <t>2.400,00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=HYPERLINK("https://leilaoonline.net/lote/detalhe/219240", "32966")</f>
      </c>
      <c r="B142" s="4" t="s">
        <f>=HYPERLINK("https://leilaoonline.net/lote/detalhe/219240", "MOTOBOMBA OM 447; ANO 2007. - FR11005021. - LOC. VALE DO ROSÁRIO")</f>
      </c>
      <c r="C142" s="4" t="inlineStr">
        <is>
          <t>Não vendido</t>
        </is>
      </c>
      <c r="D142" s="4" t="inlineStr">
        <is>
          <t>21</t>
        </is>
      </c>
      <c r="E142" s="5" t="inlineStr">
        <is>
          <t>15.000,00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=HYPERLINK("https://leilaoonline.net/lote/detalhe/218673", "32972")</f>
      </c>
      <c r="B143" s="4" t="s">
        <f>=HYPERLINK("https://leilaoonline.net/lote/detalhe/218673", "CAMINHÃO VOLVO NL10 320 4X2T EDC; ANO 1997/1997; BRANCO. - FR11001021. - LOC. VALE DO ROSÁRIO")</f>
      </c>
      <c r="C143" s="4" t="inlineStr">
        <is>
          <t>Vendido</t>
        </is>
      </c>
      <c r="D143" s="4" t="inlineStr">
        <is>
          <t>13</t>
        </is>
      </c>
      <c r="E143" s="5" t="inlineStr">
        <is>
          <t>27.000,00</t>
        </is>
      </c>
      <c r="F143" s="4" t="inlineStr">
        <is>
          <t>1000.00</t>
        </is>
      </c>
    </row>
    <row collapsed="false" customFormat="false" customHeight="false" hidden="false" ht="12.1" outlineLevel="0" r="144">
      <c r="A144" s="5" t="s">
        <f>=HYPERLINK("https://leilaoonline.net/lote/detalhe/218672", "32976")</f>
      </c>
      <c r="B144" s="4" t="s">
        <f>=HYPERLINK("https://leilaoonline.net/lote/detalhe/218672", "APROX. 7 TURBINAS DIVERSAS ZANINI DIVERSAS; VEJA DESCRITIVO DE ITENS. - LOC. JUNQUEIRA")</f>
      </c>
      <c r="C144" s="4" t="inlineStr">
        <is>
          <t>Não vendido</t>
        </is>
      </c>
      <c r="D144" s="4" t="inlineStr">
        <is>
          <t>20</t>
        </is>
      </c>
      <c r="E144" s="5" t="inlineStr">
        <is>
          <t>17.000,00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=HYPERLINK("https://leilaoonline.net/lote/detalhe/217867", "32977")</f>
      </c>
      <c r="B145" s="4" t="s">
        <f>=HYPERLINK("https://leilaoonline.net/lote/detalhe/217867", "TANQUE VERTICAL DE ARMAZENAGEM DE SODA CAUSTICÁ. (FIBRA) - S/FR. - LOC. JUNQUEIRA ")</f>
      </c>
      <c r="C145" s="4" t="inlineStr">
        <is>
          <t>Não vendido</t>
        </is>
      </c>
      <c r="D145" s="4" t="inlineStr">
        <is>
          <t>1</t>
        </is>
      </c>
      <c r="E145" s="5" t="inlineStr">
        <is>
          <t>500,00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=HYPERLINK("https://leilaoonline.net/lote/detalhe/218674", "32999")</f>
      </c>
      <c r="B146" s="4" t="s">
        <f>=HYPERLINK("https://leilaoonline.net/lote/detalhe/218674", "LAVADORA DE ROUPA LAVEXMIUL; MOD. EPS-15; CENTRIFUGA SECAR ROUPA E SECADORA. - S/FR. - LOC. JUNQUEIRA")</f>
      </c>
      <c r="C146" s="4" t="inlineStr">
        <is>
          <t>Vendido</t>
        </is>
      </c>
      <c r="D146" s="4" t="inlineStr">
        <is>
          <t>21</t>
        </is>
      </c>
      <c r="E146" s="5" t="inlineStr">
        <is>
          <t>11.000,00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=HYPERLINK("https://leilaoonline.net/lote/detalhe/217846", "33017")</f>
      </c>
      <c r="B147" s="4" t="s">
        <f>=HYPERLINK("https://leilaoonline.net/lote/detalhe/217846", "ENFARDADEIRA MCA VALTRA; MOD. CHALLENGER 2270. - FR5003074. - LOC. LAGOA DA PRATA")</f>
      </c>
      <c r="C147" s="4" t="inlineStr">
        <is>
          <t>Não vendido</t>
        </is>
      </c>
      <c r="D147" s="4" t="inlineStr">
        <is>
          <t>10</t>
        </is>
      </c>
      <c r="E147" s="5" t="inlineStr">
        <is>
          <t>25.000,00</t>
        </is>
      </c>
      <c r="F147" s="4" t="inlineStr">
        <is>
          <t>1000.00</t>
        </is>
      </c>
    </row>
    <row collapsed="false" customFormat="false" customHeight="false" hidden="false" ht="12.1" outlineLevel="0" r="148">
      <c r="A148" s="5" t="s">
        <f>=HYPERLINK("https://leilaoonline.net/lote/detalhe/217847", "33020")</f>
      </c>
      <c r="B148" s="4" t="s">
        <f>=HYPERLINK("https://leilaoonline.net/lote/detalhe/217847", "ENLEIRADOR. - FR5003076. - LOC. LAGOA DA PRATA")</f>
      </c>
      <c r="C148" s="4" t="inlineStr">
        <is>
          <t>Não vendido</t>
        </is>
      </c>
      <c r="D148" s="4" t="inlineStr">
        <is>
          <t>1</t>
        </is>
      </c>
      <c r="E148" s="5" t="inlineStr">
        <is>
          <t>1.000,00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=HYPERLINK("https://leilaoonline.net/lote/detalhe/217852", "33022")</f>
      </c>
      <c r="B149" s="4" t="s">
        <f>=HYPERLINK("https://leilaoonline.net/lote/detalhe/217852", " REBOQUE CBRASIL TUPA 500; ANO 2015/2015; VERDE. (CARRETA DE SERVIÇOS GERAIS) - FR8003198. - LOC. LAGOA DA PRATA")</f>
      </c>
      <c r="C149" s="4" t="inlineStr">
        <is>
          <t>Não vendido</t>
        </is>
      </c>
      <c r="D149" s="4" t="inlineStr">
        <is>
          <t>3</t>
        </is>
      </c>
      <c r="E149" s="5" t="inlineStr">
        <is>
          <t>900,00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=HYPERLINK("https://leilaoonline.net/lote/detalhe/217853", "33023")</f>
      </c>
      <c r="B150" s="4" t="s">
        <f>=HYPERLINK("https://leilaoonline.net/lote/detalhe/217853", "REBOQUE CBRASIL TUPA 500; ANO 2015/2015; VERDE. (CARRETA DE SERVIÇOS GERAIS) - FR8003199. - LOC. LAGOA DA PRATA")</f>
      </c>
      <c r="C150" s="4" t="inlineStr">
        <is>
          <t>Não vendido</t>
        </is>
      </c>
      <c r="D150" s="4" t="inlineStr">
        <is>
          <t>4</t>
        </is>
      </c>
      <c r="E150" s="5" t="inlineStr">
        <is>
          <t>1.100,00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=HYPERLINK("https://leilaoonline.net/lote/detalhe/217850", "33024")</f>
      </c>
      <c r="B151" s="4" t="s">
        <f>=HYPERLINK("https://leilaoonline.net/lote/detalhe/217850", "CARRETA / ACUMULADOR DE FARDO MCA DRIA. - FR5003077. - LOC. LAGOA DA PRATA")</f>
      </c>
      <c r="C151" s="4" t="inlineStr">
        <is>
          <t>Não vendido</t>
        </is>
      </c>
      <c r="D151" s="4" t="inlineStr">
        <is>
          <t>4</t>
        </is>
      </c>
      <c r="E151" s="5" t="inlineStr">
        <is>
          <t>3.750,00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=HYPERLINK("https://leilaoonline.net/lote/detalhe/217851", "33026")</f>
      </c>
      <c r="B152" s="4" t="s">
        <f>=HYPERLINK("https://leilaoonline.net/lote/detalhe/217851", "SILO. - SAI-LP-0008. - LOC. LAGOA DA PRATA")</f>
      </c>
      <c r="C152" s="4" t="inlineStr">
        <is>
          <t>Não vendido</t>
        </is>
      </c>
      <c r="D152" s="4" t="inlineStr">
        <is>
          <t>7</t>
        </is>
      </c>
      <c r="E152" s="5" t="inlineStr">
        <is>
          <t>7.500,00</t>
        </is>
      </c>
      <c r="F152" s="4" t="inlineStr">
        <is>
          <t>500.00</t>
        </is>
      </c>
    </row>
    <row collapsed="false" customFormat="false" customHeight="false" hidden="false" ht="12.1" outlineLevel="0" r="153">
      <c r="A153" s="5" t="s">
        <f>=HYPERLINK("https://leilaoonline.net/lote/detalhe/217848", "33036")</f>
      </c>
      <c r="B153" s="4" t="s">
        <f>=HYPERLINK("https://leilaoonline.net/lote/detalhe/217848", "PLANTADORA DE CANA AUTOMÁTICA DMB; ANO 2009. - FR513111. - LOC. LAGOA DA PRATA")</f>
      </c>
      <c r="C153" s="4" t="inlineStr">
        <is>
          <t>Não vendido</t>
        </is>
      </c>
      <c r="D153" s="4" t="inlineStr">
        <is>
          <t>8</t>
        </is>
      </c>
      <c r="E153" s="5" t="inlineStr">
        <is>
          <t>17.000,00</t>
        </is>
      </c>
      <c r="F153" s="4" t="inlineStr">
        <is>
          <t>1000.00</t>
        </is>
      </c>
    </row>
    <row collapsed="false" customFormat="false" customHeight="false" hidden="false" ht="12.1" outlineLevel="0" r="154">
      <c r="A154" s="5" t="s">
        <f>=HYPERLINK("https://leilaoonline.net/lote/detalhe/217845", "33037")</f>
      </c>
      <c r="B154" s="4" t="s">
        <f>=HYPERLINK("https://leilaoonline.net/lote/detalhe/217845", "PLANTADORA DE CANA AUTOMÁTICA DMB; ANO 2010. - FR513096. - LOC. LAGOA DA PRATA")</f>
      </c>
      <c r="C154" s="4" t="inlineStr">
        <is>
          <t>Vendido</t>
        </is>
      </c>
      <c r="D154" s="4" t="inlineStr">
        <is>
          <t>2</t>
        </is>
      </c>
      <c r="E154" s="5" t="inlineStr">
        <is>
          <t>11.000,00</t>
        </is>
      </c>
      <c r="F154" s="4" t="inlineStr">
        <is>
          <t>1000.00</t>
        </is>
      </c>
    </row>
    <row collapsed="false" customFormat="false" customHeight="false" hidden="false" ht="12.1" outlineLevel="0" r="155">
      <c r="A155" s="5" t="s">
        <f>=HYPERLINK("https://leilaoonline.net/lote/detalhe/217849", "33038")</f>
      </c>
      <c r="B155" s="4" t="s">
        <f>=HYPERLINK("https://leilaoonline.net/lote/detalhe/217849", "PLANTADORA DE CANA DMB; ANO 2011. - FR8003103. - LOC. LAGOA DA PRATA")</f>
      </c>
      <c r="C155" s="4" t="inlineStr">
        <is>
          <t>Não vendido</t>
        </is>
      </c>
      <c r="D155" s="4" t="inlineStr">
        <is>
          <t>1</t>
        </is>
      </c>
      <c r="E155" s="5" t="inlineStr">
        <is>
          <t>10.000,00</t>
        </is>
      </c>
      <c r="F155" s="4" t="inlineStr">
        <is>
          <t>1000.00</t>
        </is>
      </c>
    </row>
    <row collapsed="false" customFormat="false" customHeight="false" hidden="false" ht="12.1" outlineLevel="0" r="156">
      <c r="A156" s="5" t="s">
        <f>=HYPERLINK("https://leilaoonline.net/lote/detalhe/218664", "33046")</f>
      </c>
      <c r="B156" s="4" t="s">
        <f>=HYPERLINK("https://leilaoonline.net/lote/detalhe/218664", " HIDRO ROLL METALMAG (ROLÃO) - FR513082. - LOC. LAGOA DA PRATA")</f>
      </c>
      <c r="C156" s="4" t="inlineStr">
        <is>
          <t>Vendido</t>
        </is>
      </c>
      <c r="D156" s="4" t="inlineStr">
        <is>
          <t>3</t>
        </is>
      </c>
      <c r="E156" s="5" t="inlineStr">
        <is>
          <t>11.500,00</t>
        </is>
      </c>
      <c r="F156" s="4" t="inlineStr">
        <is>
          <t>500.00</t>
        </is>
      </c>
    </row>
    <row collapsed="false" customFormat="false" customHeight="false" hidden="false" ht="12.1" outlineLevel="0" r="157">
      <c r="A157" s="5" t="s">
        <f>=HYPERLINK("https://leilaoonline.net/lote/detalhe/218663", "33047")</f>
      </c>
      <c r="B157" s="4" t="s">
        <f>=HYPERLINK("https://leilaoonline.net/lote/detalhe/218663", " HIDRO ROLL METALMAG (ROLÃO) - FR513078 - (8003078). - LOC. LAGOA DA PRATA")</f>
      </c>
      <c r="C157" s="4" t="inlineStr">
        <is>
          <t>Vendido</t>
        </is>
      </c>
      <c r="D157" s="4" t="inlineStr">
        <is>
          <t>1</t>
        </is>
      </c>
      <c r="E157" s="5" t="inlineStr">
        <is>
          <t>10.000,00</t>
        </is>
      </c>
      <c r="F157" s="4" t="inlineStr">
        <is>
          <t>500.00</t>
        </is>
      </c>
    </row>
    <row collapsed="false" customFormat="false" customHeight="false" hidden="false" ht="12.1" outlineLevel="0" r="158">
      <c r="A158" s="5" t="s">
        <f>=HYPERLINK("https://leilaoonline.net/lote/detalhe/216789", "33050")</f>
      </c>
      <c r="B158" s="4" t="s">
        <f>=HYPERLINK("https://leilaoonline.net/lote/detalhe/216789", "HIDRO ROLL IRRIGABRASIL. - FR514050. - LOC. LAGOA DA PRATA")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5.000,00</t>
        </is>
      </c>
      <c r="F158" s="4" t="inlineStr">
        <is>
          <t>1000.00</t>
        </is>
      </c>
    </row>
    <row collapsed="false" customFormat="false" customHeight="false" hidden="false" ht="12.1" outlineLevel="0" r="159">
      <c r="A159" s="5" t="s">
        <f>=HYPERLINK("https://leilaoonline.net/lote/detalhe/216790", "33051")</f>
      </c>
      <c r="B159" s="4" t="s">
        <f>=HYPERLINK("https://leilaoonline.net/lote/detalhe/216790", "CHASSI DE MOTO BOMBA MWM 6.12 TCA. - FR514013. - LOC. LAGOA DA PRATA")</f>
      </c>
      <c r="C159" s="4" t="inlineStr">
        <is>
          <t>Vendido</t>
        </is>
      </c>
      <c r="D159" s="4" t="inlineStr">
        <is>
          <t>2</t>
        </is>
      </c>
      <c r="E159" s="5" t="inlineStr">
        <is>
          <t>2.100,00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=HYPERLINK("https://leilaoonline.net/lote/detalhe/218634", "33056")</f>
      </c>
      <c r="B160" s="4" t="s">
        <f>=HYPERLINK("https://leilaoonline.net/lote/detalhe/218634", "CAMINHÃO VOLKSWAGEN 31.330 CRC 6X4; ANO 2014/2015; BRANCO / CARROCERIA TRANSBORDO ATONIOSI ATA 12000SC; ANO 2013. - FR58638/FR57583. - LOC. COSTA PINTO")</f>
      </c>
      <c r="C160" s="4" t="inlineStr">
        <is>
          <t>Não vendido</t>
        </is>
      </c>
      <c r="D160" s="4" t="inlineStr">
        <is>
          <t>117</t>
        </is>
      </c>
      <c r="E160" s="5" t="inlineStr">
        <is>
          <t>213.000,00</t>
        </is>
      </c>
      <c r="F160" s="4" t="inlineStr">
        <is>
          <t>2000.00</t>
        </is>
      </c>
    </row>
    <row collapsed="false" customFormat="false" customHeight="false" hidden="false" ht="12.1" outlineLevel="0" r="161">
      <c r="A161" s="5" t="s">
        <f>=HYPERLINK("https://leilaoonline.net/lote/detalhe/218633", "33057")</f>
      </c>
      <c r="B161" s="4" t="s">
        <f>=HYPERLINK("https://leilaoonline.net/lote/detalhe/218633", "CAMINHÃO VOLKSWAGEN 31.330 CRC 6X4; ANO 2014/2015; BRANCO / CARROCERIA TRANSBORDO ATONIOSI ATA 12000SC; ANO 2011. - FR10658/FR10175. - LOC. COSTA PINTO")</f>
      </c>
      <c r="C161" s="4" t="inlineStr">
        <is>
          <t>Não vendido</t>
        </is>
      </c>
      <c r="D161" s="4" t="inlineStr">
        <is>
          <t>108</t>
        </is>
      </c>
      <c r="E161" s="5" t="inlineStr">
        <is>
          <t>220.000,00</t>
        </is>
      </c>
      <c r="F161" s="4" t="inlineStr">
        <is>
          <t>2000.00</t>
        </is>
      </c>
    </row>
    <row collapsed="false" customFormat="false" customHeight="false" hidden="false" ht="12.1" outlineLevel="0" r="162">
      <c r="A162" s="5" t="s">
        <f>=HYPERLINK("https://leilaoonline.net/lote/detalhe/218668", "33063")</f>
      </c>
      <c r="B162" s="4" t="s">
        <f>=HYPERLINK("https://leilaoonline.net/lote/detalhe/218668", "CULTIVADOR 2 LINHAS CARDEROLI. - FR67182. - LOC. BOM RETIRO")</f>
      </c>
      <c r="C162" s="4" t="inlineStr">
        <is>
          <t>Não vendido</t>
        </is>
      </c>
      <c r="D162" s="4" t="inlineStr">
        <is>
          <t>1</t>
        </is>
      </c>
      <c r="E162" s="5" t="inlineStr">
        <is>
          <t>1.000,00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=HYPERLINK("https://leilaoonline.net/lote/detalhe/217864", "33064")</f>
      </c>
      <c r="B163" s="4" t="s">
        <f>=HYPERLINK("https://leilaoonline.net/lote/detalhe/217864", "ELIMINADOR DE SOQUEIRA AGRO MATÃO; ANO 2019. - FR67202. - LOC. BOM RETIRO")</f>
      </c>
      <c r="C163" s="4" t="inlineStr">
        <is>
          <t>Não vendido</t>
        </is>
      </c>
      <c r="D163" s="4" t="inlineStr">
        <is>
          <t>1</t>
        </is>
      </c>
      <c r="E163" s="5" t="inlineStr">
        <is>
          <t>3.000,00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=HYPERLINK("https://leilaoonline.net/lote/detalhe/217861", "33065")</f>
      </c>
      <c r="B164" s="4" t="s">
        <f>=HYPERLINK("https://leilaoonline.net/lote/detalhe/217861", "ELIMINADOR DE SOQUEIRA AGRO MATÃO; ANO 2019. - FR57434. - LOC. BOM RETIRO")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3.000,00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=HYPERLINK("https://leilaoonline.net/lote/detalhe/217862", "33066")</f>
      </c>
      <c r="B165" s="4" t="s">
        <f>=HYPERLINK("https://leilaoonline.net/lote/detalhe/217862", "ELIMINADOR DE SOQUEIRA AGRO MATÃO; ANO 2019. - FR38091. - LOC. BOM RETIRO")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3.000,00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=HYPERLINK("https://leilaoonline.net/lote/detalhe/217859", "33067")</f>
      </c>
      <c r="B166" s="4" t="s">
        <f>=HYPERLINK("https://leilaoonline.net/lote/detalhe/217859", "ELIMINADOR DE SOQUEIRA AGRO MATÃO; ANO 2019. - FR38092. - LOC. BOM RETIRO")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3.000,00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=HYPERLINK("https://leilaoonline.net/lote/detalhe/217865", "33068")</f>
      </c>
      <c r="B167" s="4" t="s">
        <f>=HYPERLINK("https://leilaoonline.net/lote/detalhe/217865", "ELIMINADOR DE SOQUEIRA AGRO MATÃO; ANO 2019. - FR57435. - LOC. BOM RETIRO")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3.000,00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=HYPERLINK("https://leilaoonline.net/lote/detalhe/217858", "33069")</f>
      </c>
      <c r="B168" s="4" t="s">
        <f>=HYPERLINK("https://leilaoonline.net/lote/detalhe/217858", "ELIMINADOR DE SOQUEIRA AGRO MATÃO; ANO 2019. - FR25281. - LOC. BOM RETIRO")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3.000,00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=HYPERLINK("https://leilaoonline.net/lote/detalhe/217863", "33070")</f>
      </c>
      <c r="B169" s="4" t="s">
        <f>=HYPERLINK("https://leilaoonline.net/lote/detalhe/217863", "ELIMINADOR DE SOQUEIRA AGRO MATÃO; ANO 2019. - FR25282. - LOC. BOM RETIRO")</f>
      </c>
      <c r="C169" s="4" t="inlineStr">
        <is>
          <t>Não vendido</t>
        </is>
      </c>
      <c r="D169" s="4" t="inlineStr">
        <is>
          <t>1</t>
        </is>
      </c>
      <c r="E169" s="5" t="inlineStr">
        <is>
          <t>14.000,00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=HYPERLINK("https://leilaoonline.net/lote/detalhe/217866", "33071")</f>
      </c>
      <c r="B170" s="4" t="s">
        <f>=HYPERLINK("https://leilaoonline.net/lote/detalhe/217866", "ELIMINADOR DE SOQUEIRA AGRO MATÃO; ANO 2019. - FR25283. - LOC. BOM RETIRO")</f>
      </c>
      <c r="C170" s="4" t="inlineStr">
        <is>
          <t>Não vendido</t>
        </is>
      </c>
      <c r="D170" s="4" t="inlineStr">
        <is>
          <t>1</t>
        </is>
      </c>
      <c r="E170" s="5" t="inlineStr">
        <is>
          <t>3.000,00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=HYPERLINK("https://leilaoonline.net/lote/detalhe/216843", "33073")</f>
      </c>
      <c r="B171" s="4" t="s">
        <f>=HYPERLINK("https://leilaoonline.net/lote/detalhe/216843", "HIDRO ROLL METALMAG (ROLÃO) ANO 2006. - FR67126. - LOC. BOM RETIRO")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5.000,00</t>
        </is>
      </c>
      <c r="F171" s="4" t="inlineStr">
        <is>
          <t>500.00</t>
        </is>
      </c>
    </row>
    <row collapsed="false" customFormat="false" customHeight="false" hidden="false" ht="12.1" outlineLevel="0" r="172">
      <c r="A172" s="5" t="s">
        <f>=HYPERLINK("https://leilaoonline.net/lote/detalhe/217860", "33074")</f>
      </c>
      <c r="B172" s="4" t="s">
        <f>=HYPERLINK("https://leilaoonline.net/lote/detalhe/217860", "COLHEDORA JOHN DEERE 3522 2L; ANO 2012. - FR139516. - LOC. BOM RETIRO")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25.000,00</t>
        </is>
      </c>
      <c r="F172" s="4" t="inlineStr">
        <is>
          <t>1000.00</t>
        </is>
      </c>
    </row>
    <row collapsed="false" customFormat="false" customHeight="false" hidden="false" ht="12.1" outlineLevel="0" r="173">
      <c r="A173" s="5" t="s">
        <f>=HYPERLINK("https://leilaoonline.net/lote/detalhe/216841", "33078")</f>
      </c>
      <c r="B173" s="4" t="s">
        <f>=HYPERLINK("https://leilaoonline.net/lote/detalhe/216841", "CULTIVADOR DISTRIBUIDOR DE ADUBO DMB 2L; ANO 2004. - FR57214. - LOC. BOM RETIRO")</f>
      </c>
      <c r="C173" s="4" t="inlineStr">
        <is>
          <t>Vendido</t>
        </is>
      </c>
      <c r="D173" s="4" t="inlineStr">
        <is>
          <t>1</t>
        </is>
      </c>
      <c r="E173" s="5" t="inlineStr">
        <is>
          <t>1.000,00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=HYPERLINK("https://leilaoonline.net/lote/detalhe/216842", "33080")</f>
      </c>
      <c r="B174" s="4" t="s">
        <f>=HYPERLINK("https://leilaoonline.net/lote/detalhe/216842", "CARRETA ESPARRAMADORA DE CALCAREO SOLLUS SPANDER 12.0 CHC; ANO 2011. - FR25307. - LOC. BOM RETIRO")</f>
      </c>
      <c r="C174" s="4" t="inlineStr">
        <is>
          <t>Não vendido</t>
        </is>
      </c>
      <c r="D174" s="4" t="inlineStr">
        <is>
          <t>23</t>
        </is>
      </c>
      <c r="E174" s="5" t="inlineStr">
        <is>
          <t>4.200,00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=HYPERLINK("https://leilaoonline.net/lote/detalhe/216805", "33081")</f>
      </c>
      <c r="B175" s="4" t="s">
        <f>=HYPERLINK("https://leilaoonline.net/lote/detalhe/216805", "ADUBADEIRA JM3520SH JUMIL; ANO 2011. - FR25214. - LOC. BOM RETIRO")</f>
      </c>
      <c r="C175" s="4" t="inlineStr">
        <is>
          <t>Não vendido</t>
        </is>
      </c>
      <c r="D175" s="4" t="inlineStr">
        <is>
          <t>2</t>
        </is>
      </c>
      <c r="E175" s="5" t="inlineStr">
        <is>
          <t>1.400,00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=HYPERLINK("https://leilaoonline.net/lote/detalhe/218669", "33083")</f>
      </c>
      <c r="B176" s="4" t="s">
        <f>=HYPERLINK("https://leilaoonline.net/lote/detalhe/218669", "REBOQUE ANTONINI; ANO 1991/1991; AZUL. - FR56141. - LOC. BOM RETIRO")</f>
      </c>
      <c r="C176" s="4" t="inlineStr">
        <is>
          <t>Não vendido</t>
        </is>
      </c>
      <c r="D176" s="4" t="inlineStr">
        <is>
          <t>1</t>
        </is>
      </c>
      <c r="E176" s="5" t="inlineStr">
        <is>
          <t>10.000,00</t>
        </is>
      </c>
      <c r="F176" s="4" t="inlineStr">
        <is>
          <t>1000.00</t>
        </is>
      </c>
    </row>
    <row collapsed="false" customFormat="false" customHeight="false" hidden="false" ht="12.1" outlineLevel="0" r="177">
      <c r="A177" s="5" t="s">
        <f>=HYPERLINK("https://leilaoonline.net/lote/detalhe/218742", "33111")</f>
      </c>
      <c r="B177" s="4" t="s">
        <f>=HYPERLINK("https://leilaoonline.net/lote/detalhe/218742", "CARROCERIA BAÚ FACCHINI. - FR299790. - LOC. MARACAJU")</f>
      </c>
      <c r="C177" s="4" t="inlineStr">
        <is>
          <t>Vendido</t>
        </is>
      </c>
      <c r="D177" s="4" t="inlineStr">
        <is>
          <t>23</t>
        </is>
      </c>
      <c r="E177" s="5" t="inlineStr">
        <is>
          <t>13.500,00</t>
        </is>
      </c>
      <c r="F177" s="4" t="inlineStr">
        <is>
          <t>500.00</t>
        </is>
      </c>
    </row>
    <row collapsed="false" customFormat="false" customHeight="false" hidden="false" ht="12.1" outlineLevel="0" r="178">
      <c r="A178" s="5" t="s">
        <f>=HYPERLINK("https://leilaoonline.net/lote/detalhe/218730", "33112")</f>
      </c>
      <c r="B178" s="4" t="s">
        <f>=HYPERLINK("https://leilaoonline.net/lote/detalhe/218730", "CARROCERIA TANQUE DE AÇO AMARELO. - S/FR. - LOC. MARACAJU")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1.000,00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=HYPERLINK("https://leilaoonline.net/lote/detalhe/218755", "33113")</f>
      </c>
      <c r="B179" s="4" t="s">
        <f>=HYPERLINK("https://leilaoonline.net/lote/detalhe/218755", "CARROCERIA TANQUE DE AÇO VERDE . -S/FR. - LOC. MARACAJU")</f>
      </c>
      <c r="C179" s="4" t="inlineStr">
        <is>
          <t>Não vendido</t>
        </is>
      </c>
      <c r="D179" s="4" t="inlineStr">
        <is>
          <t>12</t>
        </is>
      </c>
      <c r="E179" s="5" t="inlineStr">
        <is>
          <t>2.200,00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=HYPERLINK("https://leilaoonline.net/lote/detalhe/218746", "33114")</f>
      </c>
      <c r="B180" s="4" t="s">
        <f>=HYPERLINK("https://leilaoonline.net/lote/detalhe/218746", "REBOQUE RANDONSP RQ CA; ANO 2010/2010; AZUL. - FR96782. - LOC. RIO BRILHANTE")</f>
      </c>
      <c r="C180" s="4" t="inlineStr">
        <is>
          <t>Vendido</t>
        </is>
      </c>
      <c r="D180" s="4" t="inlineStr">
        <is>
          <t>24</t>
        </is>
      </c>
      <c r="E180" s="5" t="inlineStr">
        <is>
          <t>48.000,00</t>
        </is>
      </c>
      <c r="F180" s="4" t="inlineStr">
        <is>
          <t>1000.00</t>
        </is>
      </c>
    </row>
    <row collapsed="false" customFormat="false" customHeight="false" hidden="false" ht="12.1" outlineLevel="0" r="181">
      <c r="A181" s="5" t="s">
        <f>=HYPERLINK("https://leilaoonline.net/lote/detalhe/218757", "33115")</f>
      </c>
      <c r="B181" s="4" t="s">
        <f>=HYPERLINK("https://leilaoonline.net/lote/detalhe/218757", "REBOQUE RANDONSP RQ CA; ANO 2010/2011; AZUL. - FR82635. - LOC. RIO BRILHANTE")</f>
      </c>
      <c r="C181" s="4" t="inlineStr">
        <is>
          <t>Vendido</t>
        </is>
      </c>
      <c r="D181" s="4" t="inlineStr">
        <is>
          <t>11</t>
        </is>
      </c>
      <c r="E181" s="5" t="inlineStr">
        <is>
          <t>35.000,00</t>
        </is>
      </c>
      <c r="F181" s="4" t="inlineStr">
        <is>
          <t>1000.00</t>
        </is>
      </c>
    </row>
    <row collapsed="false" customFormat="false" customHeight="false" hidden="false" ht="12.1" outlineLevel="0" r="182">
      <c r="A182" s="5" t="s">
        <f>=HYPERLINK("https://leilaoonline.net/lote/detalhe/218745", "33116")</f>
      </c>
      <c r="B182" s="4" t="s">
        <f>=HYPERLINK("https://leilaoonline.net/lote/detalhe/218745", "REBOQUE RANDONSP RQ CA; ANO 2010/2010; AZUL. - FR46865. - LOC. RIO BRILHANTE")</f>
      </c>
      <c r="C182" s="4" t="inlineStr">
        <is>
          <t>Vendido</t>
        </is>
      </c>
      <c r="D182" s="4" t="inlineStr">
        <is>
          <t>12</t>
        </is>
      </c>
      <c r="E182" s="5" t="inlineStr">
        <is>
          <t>36.000,00</t>
        </is>
      </c>
      <c r="F182" s="4" t="inlineStr">
        <is>
          <t>1000.00</t>
        </is>
      </c>
    </row>
    <row collapsed="false" customFormat="false" customHeight="false" hidden="false" ht="12.1" outlineLevel="0" r="183">
      <c r="A183" s="5" t="s">
        <f>=HYPERLINK("https://leilaoonline.net/lote/detalhe/218761", "33117")</f>
      </c>
      <c r="B183" s="4" t="s">
        <f>=HYPERLINK("https://leilaoonline.net/lote/detalhe/218761", "REBOQUE RANDONSP RQ CA; ANO 2012/2013; CINZA. - FR82695. - LOC. RIO BRILHANTE")</f>
      </c>
      <c r="C183" s="4" t="inlineStr">
        <is>
          <t>Vendido</t>
        </is>
      </c>
      <c r="D183" s="4" t="inlineStr">
        <is>
          <t>17</t>
        </is>
      </c>
      <c r="E183" s="5" t="inlineStr">
        <is>
          <t>41.000,00</t>
        </is>
      </c>
      <c r="F183" s="4" t="inlineStr">
        <is>
          <t>1000.00</t>
        </is>
      </c>
    </row>
    <row collapsed="false" customFormat="false" customHeight="false" hidden="false" ht="12.1" outlineLevel="0" r="184">
      <c r="A184" s="5" t="s">
        <f>=HYPERLINK("https://leilaoonline.net/lote/detalhe/218734", "33118")</f>
      </c>
      <c r="B184" s="4" t="s">
        <f>=HYPERLINK("https://leilaoonline.net/lote/detalhe/218734", "REBOQUE RANDONSP RQ CA; ANO 2010/2010; CINZA. - FR96819. - LOC. RIO BRILHANTE")</f>
      </c>
      <c r="C184" s="4" t="inlineStr">
        <is>
          <t>Vendido</t>
        </is>
      </c>
      <c r="D184" s="4" t="inlineStr">
        <is>
          <t>15</t>
        </is>
      </c>
      <c r="E184" s="5" t="inlineStr">
        <is>
          <t>39.000,00</t>
        </is>
      </c>
      <c r="F184" s="4" t="inlineStr">
        <is>
          <t>1000.00</t>
        </is>
      </c>
    </row>
    <row collapsed="false" customFormat="false" customHeight="false" hidden="false" ht="12.1" outlineLevel="0" r="185">
      <c r="A185" s="5" t="s">
        <f>=HYPERLINK("https://leilaoonline.net/lote/detalhe/218759", "33119")</f>
      </c>
      <c r="B185" s="4" t="s">
        <f>=HYPERLINK("https://leilaoonline.net/lote/detalhe/218759", "REBOQUE RANDONSP RQ CA; ANO 2010/2010; AZUL. - FR96745. - LOC. RIO BRILHANTE")</f>
      </c>
      <c r="C185" s="4" t="inlineStr">
        <is>
          <t>Vendido</t>
        </is>
      </c>
      <c r="D185" s="4" t="inlineStr">
        <is>
          <t>10</t>
        </is>
      </c>
      <c r="E185" s="5" t="inlineStr">
        <is>
          <t>34.000,00</t>
        </is>
      </c>
      <c r="F185" s="4" t="inlineStr">
        <is>
          <t>1000.00</t>
        </is>
      </c>
    </row>
    <row collapsed="false" customFormat="false" customHeight="false" hidden="false" ht="12.1" outlineLevel="0" r="186">
      <c r="A186" s="5" t="s">
        <f>=HYPERLINK("https://leilaoonline.net/lote/detalhe/218751", "33120")</f>
      </c>
      <c r="B186" s="4" t="s">
        <f>=HYPERLINK("https://leilaoonline.net/lote/detalhe/218751", "REBOQUE RANDONSP RQ CA; ANO 2010/2010; AZUL. - FR46884. - LOC. RIO BRILHANTE")</f>
      </c>
      <c r="C186" s="4" t="inlineStr">
        <is>
          <t>Vendido</t>
        </is>
      </c>
      <c r="D186" s="4" t="inlineStr">
        <is>
          <t>10</t>
        </is>
      </c>
      <c r="E186" s="5" t="inlineStr">
        <is>
          <t>34.000,00</t>
        </is>
      </c>
      <c r="F186" s="4" t="inlineStr">
        <is>
          <t>1000.00</t>
        </is>
      </c>
    </row>
    <row collapsed="false" customFormat="false" customHeight="false" hidden="false" ht="12.1" outlineLevel="0" r="187">
      <c r="A187" s="5" t="s">
        <f>=HYPERLINK("https://leilaoonline.net/lote/detalhe/218732", "33121")</f>
      </c>
      <c r="B187" s="4" t="s">
        <f>=HYPERLINK("https://leilaoonline.net/lote/detalhe/218732", "REBOQUE RANDONSP RQ CA; ANO 2010/2010; AZUL. - FR96799. - LOC. RIO BRILHANTE")</f>
      </c>
      <c r="C187" s="4" t="inlineStr">
        <is>
          <t>Vendido</t>
        </is>
      </c>
      <c r="D187" s="4" t="inlineStr">
        <is>
          <t>22</t>
        </is>
      </c>
      <c r="E187" s="5" t="inlineStr">
        <is>
          <t>46.000,00</t>
        </is>
      </c>
      <c r="F187" s="4" t="inlineStr">
        <is>
          <t>1000.00</t>
        </is>
      </c>
    </row>
    <row collapsed="false" customFormat="false" customHeight="false" hidden="false" ht="12.1" outlineLevel="0" r="188">
      <c r="A188" s="5" t="s">
        <f>=HYPERLINK("https://leilaoonline.net/lote/detalhe/218744", "33122")</f>
      </c>
      <c r="B188" s="4" t="s">
        <f>=HYPERLINK("https://leilaoonline.net/lote/detalhe/218744", "COLHEDORA JOHN DEERE 3522 2L; ANO 2013. - FR9002018. - LOC. RIO BRILHANTE")</f>
      </c>
      <c r="C188" s="4" t="inlineStr">
        <is>
          <t>Vendido</t>
        </is>
      </c>
      <c r="D188" s="4" t="inlineStr">
        <is>
          <t>1</t>
        </is>
      </c>
      <c r="E188" s="5" t="inlineStr">
        <is>
          <t>25.000,00</t>
        </is>
      </c>
      <c r="F188" s="4" t="inlineStr">
        <is>
          <t>1000.00</t>
        </is>
      </c>
    </row>
    <row collapsed="false" customFormat="false" customHeight="false" hidden="false" ht="12.1" outlineLevel="0" r="189">
      <c r="A189" s="5" t="s">
        <f>=HYPERLINK("https://leilaoonline.net/lote/detalhe/218729", "33123")</f>
      </c>
      <c r="B189" s="4" t="s">
        <f>=HYPERLINK("https://leilaoonline.net/lote/detalhe/218729", "COLHEDORA JOHN DEERE 3522 2L; ANO 2013. - FR9002031. - LOC. RIO BRILHANTE")</f>
      </c>
      <c r="C189" s="4" t="inlineStr">
        <is>
          <t>Vendido</t>
        </is>
      </c>
      <c r="D189" s="4" t="inlineStr">
        <is>
          <t>1</t>
        </is>
      </c>
      <c r="E189" s="5" t="inlineStr">
        <is>
          <t>25.000,00</t>
        </is>
      </c>
      <c r="F189" s="4" t="inlineStr">
        <is>
          <t>1000.00</t>
        </is>
      </c>
    </row>
    <row collapsed="false" customFormat="false" customHeight="false" hidden="false" ht="12.1" outlineLevel="0" r="190">
      <c r="A190" s="5" t="s">
        <f>=HYPERLINK("https://leilaoonline.net/lote/detalhe/218731", "33124")</f>
      </c>
      <c r="B190" s="4" t="s">
        <f>=HYPERLINK("https://leilaoonline.net/lote/detalhe/218731", "COLHEDORA JOHN DEERE 3522 2L; ANO 2012. - FR9002009. - LOC. RIO BRILHANTE")</f>
      </c>
      <c r="C190" s="4" t="inlineStr">
        <is>
          <t>Vendido</t>
        </is>
      </c>
      <c r="D190" s="4" t="inlineStr">
        <is>
          <t>1</t>
        </is>
      </c>
      <c r="E190" s="5" t="inlineStr">
        <is>
          <t>25.000,00</t>
        </is>
      </c>
      <c r="F190" s="4" t="inlineStr">
        <is>
          <t>1000.00</t>
        </is>
      </c>
    </row>
    <row collapsed="false" customFormat="false" customHeight="false" hidden="false" ht="12.1" outlineLevel="0" r="191">
      <c r="A191" s="5" t="s">
        <f>=HYPERLINK("https://leilaoonline.net/lote/detalhe/218736", "33125")</f>
      </c>
      <c r="B191" s="4" t="s">
        <f>=HYPERLINK("https://leilaoonline.net/lote/detalhe/218736", "COLHEDOROA JOHN DEERE 3522 2L; ANO 2013. - FR4002006. - LOC. RIO BRILHANTE")</f>
      </c>
      <c r="C191" s="4" t="inlineStr">
        <is>
          <t>Vendido</t>
        </is>
      </c>
      <c r="D191" s="4" t="inlineStr">
        <is>
          <t>1</t>
        </is>
      </c>
      <c r="E191" s="5" t="inlineStr">
        <is>
          <t>25.000,00</t>
        </is>
      </c>
      <c r="F191" s="4" t="inlineStr">
        <is>
          <t>1000.00</t>
        </is>
      </c>
    </row>
    <row collapsed="false" customFormat="false" customHeight="false" hidden="false" ht="12.1" outlineLevel="0" r="192">
      <c r="A192" s="5" t="s">
        <f>=HYPERLINK("https://leilaoonline.net/lote/detalhe/218752", "33126")</f>
      </c>
      <c r="B192" s="4" t="s">
        <f>=HYPERLINK("https://leilaoonline.net/lote/detalhe/218752", "TRANSBORDO GIGANTE TESTON 22 TON; ANO 2017. - FR4445281. - LOC. RIO BRILHANTE")</f>
      </c>
      <c r="C192" s="4" t="inlineStr">
        <is>
          <t>Não vendido</t>
        </is>
      </c>
      <c r="D192" s="4" t="inlineStr">
        <is>
          <t>20</t>
        </is>
      </c>
      <c r="E192" s="5" t="inlineStr">
        <is>
          <t>62.000,00</t>
        </is>
      </c>
      <c r="F192" s="4" t="inlineStr">
        <is>
          <t>1000.00</t>
        </is>
      </c>
    </row>
    <row collapsed="false" customFormat="false" customHeight="false" hidden="false" ht="12.1" outlineLevel="0" r="193">
      <c r="A193" s="5" t="s">
        <f>=HYPERLINK("https://leilaoonline.net/lote/detalhe/218754", "33127")</f>
      </c>
      <c r="B193" s="4" t="s">
        <f>=HYPERLINK("https://leilaoonline.net/lote/detalhe/218754", "TRANSBORDO GIGANTE TESTON 22 TON; ANO 2017. - FR4445276. - LOC. RIO BRILHANTE")</f>
      </c>
      <c r="C193" s="4" t="inlineStr">
        <is>
          <t>Vendido</t>
        </is>
      </c>
      <c r="D193" s="4" t="inlineStr">
        <is>
          <t>20</t>
        </is>
      </c>
      <c r="E193" s="5" t="inlineStr">
        <is>
          <t>100.000,00</t>
        </is>
      </c>
      <c r="F193" s="4" t="inlineStr">
        <is>
          <t>1000.00</t>
        </is>
      </c>
    </row>
    <row collapsed="false" customFormat="false" customHeight="false" hidden="false" ht="12.1" outlineLevel="0" r="194">
      <c r="A194" s="5" t="s">
        <f>=HYPERLINK("https://leilaoonline.net/lote/detalhe/218749", "33128")</f>
      </c>
      <c r="B194" s="4" t="s">
        <f>=HYPERLINK("https://leilaoonline.net/lote/detalhe/218749", "TRANSBORDO CIVEMASA TAC 13000; ANO 2008. - FR9004065. - LOC. RIO BRILHANTE")</f>
      </c>
      <c r="C194" s="4" t="inlineStr">
        <is>
          <t>Vendido</t>
        </is>
      </c>
      <c r="D194" s="4" t="inlineStr">
        <is>
          <t>3</t>
        </is>
      </c>
      <c r="E194" s="5" t="inlineStr">
        <is>
          <t>20.000,00</t>
        </is>
      </c>
      <c r="F194" s="4" t="inlineStr">
        <is>
          <t>1000.00</t>
        </is>
      </c>
    </row>
    <row collapsed="false" customFormat="false" customHeight="false" hidden="false" ht="12.1" outlineLevel="0" r="195">
      <c r="A195" s="5" t="s">
        <f>=HYPERLINK("https://leilaoonline.net/lote/detalhe/218741", "33129")</f>
      </c>
      <c r="B195" s="4" t="s">
        <f>=HYPERLINK("https://leilaoonline.net/lote/detalhe/218741", "TRANSBORDO CIVEMASA TAC 13000; ANO 2008. - FR9004036. - LOC. RIO BRILHANTE")</f>
      </c>
      <c r="C195" s="4" t="inlineStr">
        <is>
          <t>Vendido</t>
        </is>
      </c>
      <c r="D195" s="4" t="inlineStr">
        <is>
          <t>2</t>
        </is>
      </c>
      <c r="E195" s="5" t="inlineStr">
        <is>
          <t>20.000,00</t>
        </is>
      </c>
      <c r="F195" s="4" t="inlineStr">
        <is>
          <t>1000.00</t>
        </is>
      </c>
    </row>
    <row collapsed="false" customFormat="false" customHeight="false" hidden="false" ht="12.1" outlineLevel="0" r="196">
      <c r="A196" s="5" t="s">
        <f>=HYPERLINK("https://leilaoonline.net/lote/detalhe/218760", "33130")</f>
      </c>
      <c r="B196" s="4" t="s">
        <f>=HYPERLINK("https://leilaoonline.net/lote/detalhe/218760", "TRANSBORDO CIVEMASA TAC 13000; ANO 2008. - FR9004038. - LOC. RIO BRILHANTE")</f>
      </c>
      <c r="C196" s="4" t="inlineStr">
        <is>
          <t>Vendido</t>
        </is>
      </c>
      <c r="D196" s="4" t="inlineStr">
        <is>
          <t>2</t>
        </is>
      </c>
      <c r="E196" s="5" t="inlineStr">
        <is>
          <t>20.000,00</t>
        </is>
      </c>
      <c r="F196" s="4" t="inlineStr">
        <is>
          <t>1000.00</t>
        </is>
      </c>
    </row>
    <row collapsed="false" customFormat="false" customHeight="false" hidden="false" ht="12.1" outlineLevel="0" r="197">
      <c r="A197" s="5" t="s">
        <f>=HYPERLINK("https://leilaoonline.net/lote/detalhe/218750", "33131")</f>
      </c>
      <c r="B197" s="4" t="s">
        <f>=HYPERLINK("https://leilaoonline.net/lote/detalhe/218750", "TRANSBORDO CIVEMASA TAC 13000; ANO 2008. - FR5004828. - LOC. RIO BRILHANTE")</f>
      </c>
      <c r="C197" s="4" t="inlineStr">
        <is>
          <t>Vendido</t>
        </is>
      </c>
      <c r="D197" s="4" t="inlineStr">
        <is>
          <t>3</t>
        </is>
      </c>
      <c r="E197" s="5" t="inlineStr">
        <is>
          <t>20.000,00</t>
        </is>
      </c>
      <c r="F197" s="4" t="inlineStr">
        <is>
          <t>1000.00</t>
        </is>
      </c>
    </row>
    <row collapsed="false" customFormat="false" customHeight="false" hidden="false" ht="12.1" outlineLevel="0" r="198">
      <c r="A198" s="5" t="s">
        <f>=HYPERLINK("https://leilaoonline.net/lote/detalhe/218738", "33132")</f>
      </c>
      <c r="B198" s="4" t="s">
        <f>=HYPERLINK("https://leilaoonline.net/lote/detalhe/218738", "CARRETA TANQUE DE AÇO FAB. PROPIA. - S/FR. - LOC. RIO BRILHANTE")</f>
      </c>
      <c r="C198" s="4" t="inlineStr">
        <is>
          <t>Vendido</t>
        </is>
      </c>
      <c r="D198" s="4" t="inlineStr">
        <is>
          <t>1</t>
        </is>
      </c>
      <c r="E198" s="5" t="inlineStr">
        <is>
          <t>3.000,00</t>
        </is>
      </c>
      <c r="F198" s="4" t="inlineStr">
        <is>
          <t>250.00</t>
        </is>
      </c>
    </row>
    <row collapsed="false" customFormat="false" customHeight="false" hidden="false" ht="12.1" outlineLevel="0" r="199">
      <c r="A199" s="5" t="s">
        <f>=HYPERLINK("https://leilaoonline.net/lote/detalhe/218748", "33133")</f>
      </c>
      <c r="B199" s="4" t="s">
        <f>=HYPERLINK("https://leilaoonline.net/lote/detalhe/218748", "CARRETINHA SERVIÇOS GERAIS; ANO 2016. - FR9003155. - LOC. RIO BRILHANTE")</f>
      </c>
      <c r="C199" s="4" t="inlineStr">
        <is>
          <t>Não vendido</t>
        </is>
      </c>
      <c r="D199" s="4" t="inlineStr">
        <is>
          <t>1</t>
        </is>
      </c>
      <c r="E199" s="5" t="inlineStr">
        <is>
          <t>1.000,00</t>
        </is>
      </c>
      <c r="F199" s="4" t="inlineStr">
        <is>
          <t>100.00</t>
        </is>
      </c>
    </row>
    <row collapsed="false" customFormat="false" customHeight="false" hidden="false" ht="12.1" outlineLevel="0" r="200">
      <c r="A200" s="5" t="s">
        <f>=HYPERLINK("https://leilaoonline.net/lote/detalhe/218762", "33134")</f>
      </c>
      <c r="B200" s="4" t="s">
        <f>=HYPERLINK("https://leilaoonline.net/lote/detalhe/218762", "REBOQUE USICAMP RCI E2E21 180; ANO 2009/2009; AZUL. - FR4455127. - LOC. CAARAPÓ")</f>
      </c>
      <c r="C200" s="4" t="inlineStr">
        <is>
          <t>Não vendido</t>
        </is>
      </c>
      <c r="D200" s="4" t="inlineStr">
        <is>
          <t>1</t>
        </is>
      </c>
      <c r="E200" s="5" t="inlineStr">
        <is>
          <t>15.000,00</t>
        </is>
      </c>
      <c r="F200" s="4" t="inlineStr">
        <is>
          <t>1000.00</t>
        </is>
      </c>
    </row>
    <row collapsed="false" customFormat="false" customHeight="false" hidden="false" ht="12.1" outlineLevel="0" r="201">
      <c r="A201" s="5" t="s">
        <f>=HYPERLINK("https://leilaoonline.net/lote/detalhe/218740", "33135")</f>
      </c>
      <c r="B201" s="4" t="s">
        <f>=HYPERLINK("https://leilaoonline.net/lote/detalhe/218740", "REBOQUE USICAMP RCI E2E21 180; ANO 2008/2008; AZUL. - FR4455115. - LOC. CAARAPÓ")</f>
      </c>
      <c r="C201" s="4" t="inlineStr">
        <is>
          <t>Vendido</t>
        </is>
      </c>
      <c r="D201" s="4" t="inlineStr">
        <is>
          <t>7</t>
        </is>
      </c>
      <c r="E201" s="5" t="inlineStr">
        <is>
          <t>35.000,00</t>
        </is>
      </c>
      <c r="F201" s="4" t="inlineStr">
        <is>
          <t>1000.00</t>
        </is>
      </c>
    </row>
    <row collapsed="false" customFormat="false" customHeight="false" hidden="false" ht="12.1" outlineLevel="0" r="202">
      <c r="A202" s="5" t="s">
        <f>=HYPERLINK("https://leilaoonline.net/lote/detalhe/218739", "33136")</f>
      </c>
      <c r="B202" s="4" t="s">
        <f>=HYPERLINK("https://leilaoonline.net/lote/detalhe/218739", "REBOQUE USICAMP RCI E2E21 180; ANO 2008/2008; AZUL. - FR4455124. - LOC. CAARAPÓ")</f>
      </c>
      <c r="C202" s="4" t="inlineStr">
        <is>
          <t>Vendido</t>
        </is>
      </c>
      <c r="D202" s="4" t="inlineStr">
        <is>
          <t>3</t>
        </is>
      </c>
      <c r="E202" s="5" t="inlineStr">
        <is>
          <t>35.000,00</t>
        </is>
      </c>
      <c r="F202" s="4" t="inlineStr">
        <is>
          <t>1000.00</t>
        </is>
      </c>
    </row>
    <row collapsed="false" customFormat="false" customHeight="false" hidden="false" ht="12.1" outlineLevel="0" r="203">
      <c r="A203" s="5" t="s">
        <f>=HYPERLINK("https://leilaoonline.net/lote/detalhe/218733", "33137")</f>
      </c>
      <c r="B203" s="4" t="s">
        <f>=HYPERLINK("https://leilaoonline.net/lote/detalhe/218733", "REBOQUE USICAMP RCI E2E21 180; ANO 2008/2008; AZUL. - FR4455122. - LOC. CAARAPÓ")</f>
      </c>
      <c r="C203" s="4" t="inlineStr">
        <is>
          <t>Não vendido</t>
        </is>
      </c>
      <c r="D203" s="4" t="inlineStr">
        <is>
          <t>3</t>
        </is>
      </c>
      <c r="E203" s="5" t="inlineStr">
        <is>
          <t>17.000,00</t>
        </is>
      </c>
      <c r="F203" s="4" t="inlineStr">
        <is>
          <t>1000.00</t>
        </is>
      </c>
    </row>
    <row collapsed="false" customFormat="false" customHeight="false" hidden="false" ht="12.1" outlineLevel="0" r="204">
      <c r="A204" s="5" t="s">
        <f>=HYPERLINK("https://leilaoonline.net/lote/detalhe/218747", "33138")</f>
      </c>
      <c r="B204" s="4" t="s">
        <f>=HYPERLINK("https://leilaoonline.net/lote/detalhe/218747", "SEMI REBOQUE USICAMP SRCP E2 10000; ANO 2008/2008; AZUL. - FR4455112. - LOC. CAARAPÓ")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15.000,00</t>
        </is>
      </c>
      <c r="F204" s="4" t="inlineStr">
        <is>
          <t>1000.00</t>
        </is>
      </c>
    </row>
    <row collapsed="false" customFormat="false" customHeight="false" hidden="false" ht="12.1" outlineLevel="0" r="205">
      <c r="A205" s="5" t="s">
        <f>=HYPERLINK("https://leilaoonline.net/lote/detalhe/218735", "33139")</f>
      </c>
      <c r="B205" s="4" t="s">
        <f>=HYPERLINK("https://leilaoonline.net/lote/detalhe/218735", "SEMI REBOQUE USICAMP SRCP E2 10000; ANO 2009/2009; AZUL. - FR4455109. - LOC. CAARAPÓ")</f>
      </c>
      <c r="C205" s="4" t="inlineStr">
        <is>
          <t>Vendido</t>
        </is>
      </c>
      <c r="D205" s="4" t="inlineStr">
        <is>
          <t>5</t>
        </is>
      </c>
      <c r="E205" s="5" t="inlineStr">
        <is>
          <t>25.000,00</t>
        </is>
      </c>
      <c r="F205" s="4" t="inlineStr">
        <is>
          <t>1000.00</t>
        </is>
      </c>
    </row>
    <row collapsed="false" customFormat="false" customHeight="false" hidden="false" ht="12.1" outlineLevel="0" r="206">
      <c r="A206" s="5" t="s">
        <f>=HYPERLINK("https://leilaoonline.net/lote/detalhe/218756", "33140")</f>
      </c>
      <c r="B206" s="4" t="s">
        <f>=HYPERLINK("https://leilaoonline.net/lote/detalhe/218756", "SEMI REBOQUE USICAMP SRCP E2 10000; ANO 2008/2008; AZUL. - FR4493393. - LOC. CAARAPÓ")</f>
      </c>
      <c r="C206" s="4" t="inlineStr">
        <is>
          <t>Vendido</t>
        </is>
      </c>
      <c r="D206" s="4" t="inlineStr">
        <is>
          <t>6</t>
        </is>
      </c>
      <c r="E206" s="5" t="inlineStr">
        <is>
          <t>20.000,00</t>
        </is>
      </c>
      <c r="F206" s="4" t="inlineStr">
        <is>
          <t>1000.00</t>
        </is>
      </c>
    </row>
    <row collapsed="false" customFormat="false" customHeight="false" hidden="false" ht="12.1" outlineLevel="0" r="207">
      <c r="A207" s="5" t="s">
        <f>=HYPERLINK("https://leilaoonline.net/lote/detalhe/218758", "33141")</f>
      </c>
      <c r="B207" s="4" t="s">
        <f>=HYPERLINK("https://leilaoonline.net/lote/detalhe/218758", "SEMI REBOQUE RANDONSP SRCA CA; ANO 2013/2014; CINZA. - FR96878. - LOC. CAARAPÓ")</f>
      </c>
      <c r="C207" s="4" t="inlineStr">
        <is>
          <t>Vendido</t>
        </is>
      </c>
      <c r="D207" s="4" t="inlineStr">
        <is>
          <t>33</t>
        </is>
      </c>
      <c r="E207" s="5" t="inlineStr">
        <is>
          <t>60.000,00</t>
        </is>
      </c>
      <c r="F207" s="4" t="inlineStr">
        <is>
          <t>1000.00</t>
        </is>
      </c>
    </row>
    <row collapsed="false" customFormat="false" customHeight="false" hidden="false" ht="12.1" outlineLevel="0" r="208">
      <c r="A208" s="5" t="s">
        <f>=HYPERLINK("https://leilaoonline.net/lote/detalhe/218753", "33142")</f>
      </c>
      <c r="B208" s="4" t="s">
        <f>=HYPERLINK("https://leilaoonline.net/lote/detalhe/218753", "CARRETA TRANSPORTE TUBOS; ANO 2009. - FR4445096. - LOC. CAARAPÓ")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3.000,00</t>
        </is>
      </c>
      <c r="F208" s="4" t="inlineStr">
        <is>
          <t>100.00</t>
        </is>
      </c>
    </row>
    <row collapsed="false" customFormat="false" customHeight="false" hidden="false" ht="12.1" outlineLevel="0" r="209">
      <c r="A209" s="5" t="s">
        <f>=HYPERLINK("https://leilaoonline.net/lote/detalhe/218737", "33143")</f>
      </c>
      <c r="B209" s="4" t="s">
        <f>=HYPERLINK("https://leilaoonline.net/lote/detalhe/218737", "TRANSBORDO MEGATEC 10.500T; ANO 2012. - FR4445198. - LOC. CAARAPÓ")</f>
      </c>
      <c r="C209" s="4" t="inlineStr">
        <is>
          <t>Vendido</t>
        </is>
      </c>
      <c r="D209" s="4" t="inlineStr">
        <is>
          <t>2</t>
        </is>
      </c>
      <c r="E209" s="5" t="inlineStr">
        <is>
          <t>11.000,00</t>
        </is>
      </c>
      <c r="F209" s="4" t="inlineStr">
        <is>
          <t>1000.00</t>
        </is>
      </c>
    </row>
    <row collapsed="false" customFormat="false" customHeight="false" hidden="false" ht="12.1" outlineLevel="0" r="210">
      <c r="A210" s="5" t="s">
        <f>=HYPERLINK("https://leilaoonline.net/lote/detalhe/218743", "33144")</f>
      </c>
      <c r="B210" s="4" t="s">
        <f>=HYPERLINK("https://leilaoonline.net/lote/detalhe/218743", "SEMI REBOQUE RANDONSP SRCA CA; ANO 2009/2009; LARANJA. - FR4455143. - LOC. CAARAPÓ")</f>
      </c>
      <c r="C210" s="4" t="inlineStr">
        <is>
          <t>Vendido</t>
        </is>
      </c>
      <c r="D210" s="4" t="inlineStr">
        <is>
          <t>29</t>
        </is>
      </c>
      <c r="E210" s="5" t="inlineStr">
        <is>
          <t>50.000,00</t>
        </is>
      </c>
      <c r="F210" s="4" t="inlineStr">
        <is>
          <t>1000.00</t>
        </is>
      </c>
    </row>
    <row collapsed="false" customFormat="false" customHeight="false" hidden="false" ht="12.1" outlineLevel="0" r="211">
      <c r="A211" s="5" t="s">
        <f>=HYPERLINK("https://leilaoonline.net/lote/detalhe/218764", "33145")</f>
      </c>
      <c r="B211" s="4" t="s">
        <f>=HYPERLINK("https://leilaoonline.net/lote/detalhe/218764", "1 HIDROROLL HIRRIGABRASIL; ANO 2017 / 1 HIDROROLL HIRRIGABRASIL; ANO 2009. - FR4445267/FR4445088. - LOC. CAARAPÓ")</f>
      </c>
      <c r="C211" s="4" t="inlineStr">
        <is>
          <t>Não vendido</t>
        </is>
      </c>
      <c r="D211" s="4" t="inlineStr">
        <is>
          <t>1</t>
        </is>
      </c>
      <c r="E211" s="5" t="inlineStr">
        <is>
          <t>5.000,00</t>
        </is>
      </c>
      <c r="F211" s="4" t="inlineStr">
        <is>
          <t>500.00</t>
        </is>
      </c>
    </row>
    <row collapsed="false" customFormat="false" customHeight="false" hidden="false" ht="12.1" outlineLevel="0" r="212">
      <c r="A212" s="5" t="s">
        <f>=HYPERLINK("https://leilaoonline.net/lote/detalhe/218763", "33146")</f>
      </c>
      <c r="B212" s="4" t="s">
        <f>=HYPERLINK("https://leilaoonline.net/lote/detalhe/218763", "2 HIDROROLL HIRRIGABRASIL; ANO 2009/2009. - FR4445087/FR4445090. - LOC. CAARAPÓ")</f>
      </c>
      <c r="C212" s="4" t="inlineStr">
        <is>
          <t>Vendido</t>
        </is>
      </c>
      <c r="D212" s="4" t="inlineStr">
        <is>
          <t>1</t>
        </is>
      </c>
      <c r="E212" s="5" t="inlineStr">
        <is>
          <t>9.000,00</t>
        </is>
      </c>
      <c r="F212" s="4" t="inlineStr">
        <is>
          <t>500.00</t>
        </is>
      </c>
    </row>
    <row collapsed="false" customFormat="false" customHeight="false" hidden="false" ht="12.1" outlineLevel="0" r="213">
      <c r="A213" s="5" t="s">
        <f>=HYPERLINK("https://leilaoonline.net/lote/detalhe/219084", "33200")</f>
      </c>
      <c r="B213" s="4" t="s">
        <f>=HYPERLINK("https://leilaoonline.net/lote/detalhe/219084", "CAMINHÃO MERCEDES BENZ AXOR 3344S 6X4; ANO 2014/2014; BRANCO. - FR131238. - LOC. GASA")</f>
      </c>
      <c r="C213" s="4" t="inlineStr">
        <is>
          <t>Não vendido</t>
        </is>
      </c>
      <c r="D213" s="4" t="inlineStr">
        <is>
          <t>44</t>
        </is>
      </c>
      <c r="E213" s="5" t="inlineStr">
        <is>
          <t>73.000,00</t>
        </is>
      </c>
      <c r="F213" s="4" t="inlineStr">
        <is>
          <t>1000.00</t>
        </is>
      </c>
    </row>
    <row collapsed="false" customFormat="false" customHeight="false" hidden="false" ht="12.1" outlineLevel="0" r="214">
      <c r="A214" s="5" t="s">
        <f>=HYPERLINK("https://leilaoonline.net/lote/detalhe/219102", "33201")</f>
      </c>
      <c r="B214" s="4" t="s">
        <f>=HYPERLINK("https://leilaoonline.net/lote/detalhe/219102", "TRATOR VALTRA BM125i; ANO 2014. - FR88142. - LOC. GASA")</f>
      </c>
      <c r="C214" s="4" t="inlineStr">
        <is>
          <t>Vendido</t>
        </is>
      </c>
      <c r="D214" s="4" t="inlineStr">
        <is>
          <t>79</t>
        </is>
      </c>
      <c r="E214" s="5" t="inlineStr">
        <is>
          <t>113.000,00</t>
        </is>
      </c>
      <c r="F214" s="4" t="inlineStr">
        <is>
          <t>1000.00</t>
        </is>
      </c>
    </row>
    <row collapsed="false" customFormat="false" customHeight="false" hidden="false" ht="12.1" outlineLevel="0" r="215">
      <c r="A215" s="5" t="s">
        <f>=HYPERLINK("https://leilaoonline.net/lote/detalhe/219097", "33202")</f>
      </c>
      <c r="B215" s="4" t="s">
        <f>=HYPERLINK("https://leilaoonline.net/lote/detalhe/219097", "REBOQUE COM CARRETEL HIDRO ROLL; ANO 2011. - FR88924. - LOC. GASA")</f>
      </c>
      <c r="C215" s="4" t="inlineStr">
        <is>
          <t>Não vendido</t>
        </is>
      </c>
      <c r="D215" s="4" t="inlineStr">
        <is>
          <t>2</t>
        </is>
      </c>
      <c r="E215" s="5" t="inlineStr">
        <is>
          <t>11.000,00</t>
        </is>
      </c>
      <c r="F215" s="4" t="inlineStr">
        <is>
          <t>1000.00</t>
        </is>
      </c>
    </row>
    <row collapsed="false" customFormat="false" customHeight="false" hidden="false" ht="12.1" outlineLevel="0" r="216">
      <c r="A216" s="5" t="s">
        <f>=HYPERLINK("https://leilaoonline.net/lote/detalhe/219103", "33203")</f>
      </c>
      <c r="B216" s="4" t="s">
        <f>=HYPERLINK("https://leilaoonline.net/lote/detalhe/219103", "REBOQUE RODOVIARIA RQ CI HI; ANO 1997/1997; AZUL.  (COM HIDRO ROLL E MOTO BOMBA) - S/FR. - LOC. GASA")</f>
      </c>
      <c r="C216" s="4" t="inlineStr">
        <is>
          <t>Não vendido</t>
        </is>
      </c>
      <c r="D216" s="4" t="inlineStr">
        <is>
          <t>9</t>
        </is>
      </c>
      <c r="E216" s="5" t="inlineStr">
        <is>
          <t>18.000,00</t>
        </is>
      </c>
      <c r="F216" s="4" t="inlineStr">
        <is>
          <t>1000.00</t>
        </is>
      </c>
    </row>
    <row collapsed="false" customFormat="false" customHeight="false" hidden="false" ht="12.1" outlineLevel="0" r="217">
      <c r="A217" s="5" t="s">
        <f>=HYPERLINK("https://leilaoonline.net/lote/detalhe/219087", "33204")</f>
      </c>
      <c r="B217" s="4" t="s">
        <f>=HYPERLINK("https://leilaoonline.net/lote/detalhe/219087", "REBOQUE RODOVIARIA; ANO 1985/1985; AZUL. (COM HIDRO ROLL E MOTO BOMBA) - S/FR. - LOC. GASA")</f>
      </c>
      <c r="C217" s="4" t="inlineStr">
        <is>
          <t>Vendido</t>
        </is>
      </c>
      <c r="D217" s="4" t="inlineStr">
        <is>
          <t>9</t>
        </is>
      </c>
      <c r="E217" s="5" t="inlineStr">
        <is>
          <t>18.000,00</t>
        </is>
      </c>
      <c r="F217" s="4" t="inlineStr">
        <is>
          <t>1000.00</t>
        </is>
      </c>
    </row>
    <row collapsed="false" customFormat="false" customHeight="false" hidden="false" ht="12.1" outlineLevel="0" r="218">
      <c r="A218" s="5" t="s">
        <f>=HYPERLINK("https://leilaoonline.net/lote/detalhe/219086", "33205")</f>
      </c>
      <c r="B218" s="4" t="s">
        <f>=HYPERLINK("https://leilaoonline.net/lote/detalhe/219086", "REBOQUE TECTRAN RCM F1F1; ANO 1997/1997; AZUL. (COM CARRETEL HIDRO ROLL) - FR70335/FR88925. - LOC. GASA")</f>
      </c>
      <c r="C218" s="4" t="inlineStr">
        <is>
          <t>Vendido</t>
        </is>
      </c>
      <c r="D218" s="4" t="inlineStr">
        <is>
          <t>1</t>
        </is>
      </c>
      <c r="E218" s="5" t="inlineStr">
        <is>
          <t>10.000,00</t>
        </is>
      </c>
      <c r="F218" s="4" t="inlineStr">
        <is>
          <t>1000.00</t>
        </is>
      </c>
    </row>
    <row collapsed="false" customFormat="false" customHeight="false" hidden="false" ht="12.1" outlineLevel="0" r="219">
      <c r="A219" s="5" t="s">
        <f>=HYPERLINK("https://leilaoonline.net/lote/detalhe/219093", "33206")</f>
      </c>
      <c r="B219" s="4" t="s">
        <f>=HYPERLINK("https://leilaoonline.net/lote/detalhe/219093", "CARRETEL HIDRO ROLL. - FR86957. - LOC. GASA")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2.000,00</t>
        </is>
      </c>
      <c r="F219" s="4" t="inlineStr">
        <is>
          <t>250.00</t>
        </is>
      </c>
    </row>
    <row collapsed="false" customFormat="false" customHeight="false" hidden="false" ht="12.1" outlineLevel="0" r="220">
      <c r="A220" s="5" t="s">
        <f>=HYPERLINK("https://leilaoonline.net/lote/detalhe/219085", "33207")</f>
      </c>
      <c r="B220" s="4" t="s">
        <f>=HYPERLINK("https://leilaoonline.net/lote/detalhe/219085", "TRATOR VALTRA BT190 4X4; ANO 2014. - FR88485. - LOC. GASA")</f>
      </c>
      <c r="C220" s="4" t="inlineStr">
        <is>
          <t>Vendido</t>
        </is>
      </c>
      <c r="D220" s="4" t="inlineStr">
        <is>
          <t>18</t>
        </is>
      </c>
      <c r="E220" s="5" t="inlineStr">
        <is>
          <t>32.000,00</t>
        </is>
      </c>
      <c r="F220" s="4" t="inlineStr">
        <is>
          <t>1000.00</t>
        </is>
      </c>
    </row>
    <row collapsed="false" customFormat="false" customHeight="false" hidden="false" ht="12.1" outlineLevel="0" r="221">
      <c r="A221" s="5" t="s">
        <f>=HYPERLINK("https://leilaoonline.net/lote/detalhe/219104", "33208")</f>
      </c>
      <c r="B221" s="4" t="s">
        <f>=HYPERLINK("https://leilaoonline.net/lote/detalhe/219104", "TRATOR JOHN DEERE 7715 4X4; ANO 2014. - FR115546. - LOC. GASA")</f>
      </c>
      <c r="C221" s="4" t="inlineStr">
        <is>
          <t>Vendido</t>
        </is>
      </c>
      <c r="D221" s="4" t="inlineStr">
        <is>
          <t>31</t>
        </is>
      </c>
      <c r="E221" s="5" t="inlineStr">
        <is>
          <t>65.000,00</t>
        </is>
      </c>
      <c r="F221" s="4" t="inlineStr">
        <is>
          <t>1000.00</t>
        </is>
      </c>
    </row>
    <row collapsed="false" customFormat="false" customHeight="false" hidden="false" ht="12.1" outlineLevel="0" r="222">
      <c r="A222" s="5" t="s">
        <f>=HYPERLINK("https://leilaoonline.net/lote/detalhe/219094", "33209")</f>
      </c>
      <c r="B222" s="4" t="s">
        <f>=HYPERLINK("https://leilaoonline.net/lote/detalhe/219094", "TRATOR VALTRA BT190 4X4; ANO 2014. - FR88489. - LOC. GASA")</f>
      </c>
      <c r="C222" s="4" t="inlineStr">
        <is>
          <t>Vendido</t>
        </is>
      </c>
      <c r="D222" s="4" t="inlineStr">
        <is>
          <t>88</t>
        </is>
      </c>
      <c r="E222" s="5" t="inlineStr">
        <is>
          <t>112.000,00</t>
        </is>
      </c>
      <c r="F222" s="4" t="inlineStr">
        <is>
          <t>1000.00</t>
        </is>
      </c>
    </row>
    <row collapsed="false" customFormat="false" customHeight="false" hidden="false" ht="12.1" outlineLevel="0" r="223">
      <c r="A223" s="5" t="s">
        <f>=HYPERLINK("https://leilaoonline.net/lote/detalhe/219092", "33210")</f>
      </c>
      <c r="B223" s="4" t="s">
        <f>=HYPERLINK("https://leilaoonline.net/lote/detalhe/219092", "CAMINHÃO MERCEDES BENZ LB 2220; ANO 1989/1990; AMARELO. - FR91264. - LOC. UNIVALEM")</f>
      </c>
      <c r="C223" s="4" t="inlineStr">
        <is>
          <t>Não vendido</t>
        </is>
      </c>
      <c r="D223" s="4" t="inlineStr">
        <is>
          <t>44</t>
        </is>
      </c>
      <c r="E223" s="5" t="inlineStr">
        <is>
          <t>66.000,00</t>
        </is>
      </c>
      <c r="F223" s="4" t="inlineStr">
        <is>
          <t>1000.00</t>
        </is>
      </c>
    </row>
    <row collapsed="false" customFormat="false" customHeight="false" hidden="false" ht="12.1" outlineLevel="0" r="224">
      <c r="A224" s="5" t="s">
        <f>=HYPERLINK("https://leilaoonline.net/lote/detalhe/219107", "33211")</f>
      </c>
      <c r="B224" s="4" t="s">
        <f>=HYPERLINK("https://leilaoonline.net/lote/detalhe/219107", "TRATOR CASE MAGNUM 260; ANO 2015. - FR163505. - LOC. UNIVALEM")</f>
      </c>
      <c r="C224" s="4" t="inlineStr">
        <is>
          <t>Não vendido</t>
        </is>
      </c>
      <c r="D224" s="4" t="inlineStr">
        <is>
          <t>78</t>
        </is>
      </c>
      <c r="E224" s="5" t="inlineStr">
        <is>
          <t>120.000,00</t>
        </is>
      </c>
      <c r="F224" s="4" t="inlineStr">
        <is>
          <t>1000.00</t>
        </is>
      </c>
    </row>
    <row collapsed="false" customFormat="false" customHeight="false" hidden="false" ht="12.1" outlineLevel="0" r="225">
      <c r="A225" s="5" t="s">
        <f>=HYPERLINK("https://leilaoonline.net/lote/detalhe/219098", "33212")</f>
      </c>
      <c r="B225" s="4" t="s">
        <f>=HYPERLINK("https://leilaoonline.net/lote/detalhe/219098", "TRATOR VALTRA; ANO 2015. - S/FR. - LOC. UNIVALEM ")</f>
      </c>
      <c r="C225" s="4" t="inlineStr">
        <is>
          <t>Vendido</t>
        </is>
      </c>
      <c r="D225" s="4" t="inlineStr">
        <is>
          <t>83</t>
        </is>
      </c>
      <c r="E225" s="5" t="inlineStr">
        <is>
          <t>112.000,00</t>
        </is>
      </c>
      <c r="F225" s="4" t="inlineStr">
        <is>
          <t>1000.00</t>
        </is>
      </c>
    </row>
    <row collapsed="false" customFormat="false" customHeight="false" hidden="false" ht="12.1" outlineLevel="0" r="226">
      <c r="A226" s="5" t="s">
        <f>=HYPERLINK("https://leilaoonline.net/lote/detalhe/219090", "33213")</f>
      </c>
      <c r="B226" s="4" t="s">
        <f>=HYPERLINK("https://leilaoonline.net/lote/detalhe/219090", "TRATOR VALTRA; ANO 2014. - FR81531. - LOC. UNIVALEM")</f>
      </c>
      <c r="C226" s="4" t="inlineStr">
        <is>
          <t>Vendido</t>
        </is>
      </c>
      <c r="D226" s="4" t="inlineStr">
        <is>
          <t>23</t>
        </is>
      </c>
      <c r="E226" s="5" t="inlineStr">
        <is>
          <t>42.000,00</t>
        </is>
      </c>
      <c r="F226" s="4" t="inlineStr">
        <is>
          <t>1000.00</t>
        </is>
      </c>
    </row>
    <row collapsed="false" customFormat="false" customHeight="false" hidden="false" ht="12.1" outlineLevel="0" r="227">
      <c r="A227" s="5" t="s">
        <f>=HYPERLINK("https://leilaoonline.net/lote/detalhe/219106", "33214")</f>
      </c>
      <c r="B227" s="4" t="s">
        <f>=HYPERLINK("https://leilaoonline.net/lote/detalhe/219106", "TRATOR CASE MX 235 MAGNUM 4X4; ANO 2014. - FR81800. - LOC. UNIVALEM")</f>
      </c>
      <c r="C227" s="4" t="inlineStr">
        <is>
          <t>Vendido</t>
        </is>
      </c>
      <c r="D227" s="4" t="inlineStr">
        <is>
          <t>40</t>
        </is>
      </c>
      <c r="E227" s="5" t="inlineStr">
        <is>
          <t>64.000,00</t>
        </is>
      </c>
      <c r="F227" s="4" t="inlineStr">
        <is>
          <t>1000.00</t>
        </is>
      </c>
    </row>
    <row collapsed="false" customFormat="false" customHeight="false" hidden="false" ht="12.1" outlineLevel="0" r="228">
      <c r="A228" s="5" t="s">
        <f>=HYPERLINK("https://leilaoonline.net/lote/detalhe/219101", "33215")</f>
      </c>
      <c r="B228" s="4" t="s">
        <f>=HYPERLINK("https://leilaoonline.net/lote/detalhe/219101", "TRATOR JOHN DEERE 7195J 4X4; ANO 2015. - FR31041. - LOC. UNIVALEM")</f>
      </c>
      <c r="C228" s="4" t="inlineStr">
        <is>
          <t>Vendido</t>
        </is>
      </c>
      <c r="D228" s="4" t="inlineStr">
        <is>
          <t>25</t>
        </is>
      </c>
      <c r="E228" s="5" t="inlineStr">
        <is>
          <t>35.000,00</t>
        </is>
      </c>
      <c r="F228" s="4" t="inlineStr">
        <is>
          <t>1000.00</t>
        </is>
      </c>
    </row>
    <row collapsed="false" customFormat="false" customHeight="false" hidden="false" ht="12.1" outlineLevel="0" r="229">
      <c r="A229" s="5" t="s">
        <f>=HYPERLINK("https://leilaoonline.net/lote/detalhe/219100", "33216")</f>
      </c>
      <c r="B229" s="4" t="s">
        <f>=HYPERLINK("https://leilaoonline.net/lote/detalhe/219100", "TRATOR VALTRA BH 210; ANO 2014. - FR173319. - LOC. UNIVALEM ")</f>
      </c>
      <c r="C229" s="4" t="inlineStr">
        <is>
          <t>Vendido</t>
        </is>
      </c>
      <c r="D229" s="4" t="inlineStr">
        <is>
          <t>82</t>
        </is>
      </c>
      <c r="E229" s="5" t="inlineStr">
        <is>
          <t>107.000,00</t>
        </is>
      </c>
      <c r="F229" s="4" t="inlineStr">
        <is>
          <t>1000.00</t>
        </is>
      </c>
    </row>
    <row collapsed="false" customFormat="false" customHeight="false" hidden="false" ht="12.1" outlineLevel="0" r="230">
      <c r="A230" s="5" t="s">
        <f>=HYPERLINK("https://leilaoonline.net/lote/detalhe/219105", "33217")</f>
      </c>
      <c r="B230" s="4" t="s">
        <f>=HYPERLINK("https://leilaoonline.net/lote/detalhe/219105", "CARRETA SERVIÇOS DIVERSOS. - FR84816. - LOC. UNIVALEM")</f>
      </c>
      <c r="C230" s="4" t="inlineStr">
        <is>
          <t>Vendido</t>
        </is>
      </c>
      <c r="D230" s="4" t="inlineStr">
        <is>
          <t>1</t>
        </is>
      </c>
      <c r="E230" s="5" t="inlineStr">
        <is>
          <t>5.000,00</t>
        </is>
      </c>
      <c r="F230" s="4" t="inlineStr">
        <is>
          <t>500.00</t>
        </is>
      </c>
    </row>
    <row collapsed="false" customFormat="false" customHeight="false" hidden="false" ht="12.1" outlineLevel="0" r="231">
      <c r="A231" s="5" t="s">
        <f>=HYPERLINK("https://leilaoonline.net/lote/detalhe/219099", "33218")</f>
      </c>
      <c r="B231" s="4" t="s">
        <f>=HYPERLINK("https://leilaoonline.net/lote/detalhe/219099", "REBOQUE RODOVIARIA RQ CI PR; ANO 1995/1995; VERDE. (COM HIDRO ROLL) - FR173850 - LOC. UNIVALEM")</f>
      </c>
      <c r="C231" s="4" t="inlineStr">
        <is>
          <t>Não vendido</t>
        </is>
      </c>
      <c r="D231" s="4" t="inlineStr">
        <is>
          <t>1</t>
        </is>
      </c>
      <c r="E231" s="5" t="inlineStr">
        <is>
          <t>10.000,00</t>
        </is>
      </c>
      <c r="F231" s="4" t="inlineStr">
        <is>
          <t>1000.00</t>
        </is>
      </c>
    </row>
    <row collapsed="false" customFormat="false" customHeight="false" hidden="false" ht="12.1" outlineLevel="0" r="232">
      <c r="A232" s="5" t="s">
        <f>=HYPERLINK("https://leilaoonline.net/lote/detalhe/219091", "33219")</f>
      </c>
      <c r="B232" s="4" t="s">
        <f>=HYPERLINK("https://leilaoonline.net/lote/detalhe/219091", "4 TANQUES. - S/FR. - LOC. UNIVALEM")</f>
      </c>
      <c r="C232" s="4" t="inlineStr">
        <is>
          <t>Não vendido</t>
        </is>
      </c>
      <c r="D232" s="4" t="inlineStr">
        <is>
          <t>7</t>
        </is>
      </c>
      <c r="E232" s="5" t="inlineStr">
        <is>
          <t>1.500,00</t>
        </is>
      </c>
      <c r="F232" s="4" t="inlineStr">
        <is>
          <t>100.00</t>
        </is>
      </c>
    </row>
    <row collapsed="false" customFormat="false" customHeight="false" hidden="false" ht="12.1" outlineLevel="0" r="233">
      <c r="A233" s="5" t="s">
        <f>=HYPERLINK("https://leilaoonline.net/lote/detalhe/219131", "33220")</f>
      </c>
      <c r="B233" s="4" t="s">
        <f>=HYPERLINK("https://leilaoonline.net/lote/detalhe/219131", "TRANSBORDO; ANO 2010. - FR81336. - LOC. UNIVALEM")</f>
      </c>
      <c r="C233" s="4" t="inlineStr">
        <is>
          <t>Não vendido</t>
        </is>
      </c>
      <c r="D233" s="4" t="inlineStr">
        <is>
          <t>9</t>
        </is>
      </c>
      <c r="E233" s="5" t="inlineStr">
        <is>
          <t>18.000,00</t>
        </is>
      </c>
      <c r="F233" s="4" t="inlineStr">
        <is>
          <t>1000.00</t>
        </is>
      </c>
    </row>
    <row collapsed="false" customFormat="false" customHeight="false" hidden="false" ht="12.1" outlineLevel="0" r="234">
      <c r="A234" s="5" t="s">
        <f>=HYPERLINK("https://leilaoonline.net/lote/detalhe/219088", "33221")</f>
      </c>
      <c r="B234" s="4" t="s">
        <f>=HYPERLINK("https://leilaoonline.net/lote/detalhe/219088", "TRANSBORDO ANTONIOSI; ANO 2010. - FR84978. - LOC. UNIVALEM")</f>
      </c>
      <c r="C234" s="4" t="inlineStr">
        <is>
          <t>Não vendido</t>
        </is>
      </c>
      <c r="D234" s="4" t="inlineStr">
        <is>
          <t>1</t>
        </is>
      </c>
      <c r="E234" s="5" t="inlineStr">
        <is>
          <t>10.000,00</t>
        </is>
      </c>
      <c r="F234" s="4" t="inlineStr">
        <is>
          <t>1000.00</t>
        </is>
      </c>
    </row>
    <row collapsed="false" customFormat="false" customHeight="false" hidden="false" ht="12.1" outlineLevel="0" r="235">
      <c r="A235" s="5" t="s">
        <f>=HYPERLINK("https://leilaoonline.net/lote/detalhe/219096", "33222")</f>
      </c>
      <c r="B235" s="4" t="s">
        <f>=HYPERLINK("https://leilaoonline.net/lote/detalhe/219096", "TRANSBORDO SANTAL; ANO 2014. - FR84626. - LOC. UNIVALEM")</f>
      </c>
      <c r="C235" s="4" t="inlineStr">
        <is>
          <t>Não vendido</t>
        </is>
      </c>
      <c r="D235" s="4" t="inlineStr">
        <is>
          <t>1</t>
        </is>
      </c>
      <c r="E235" s="5" t="inlineStr">
        <is>
          <t>10.000,00</t>
        </is>
      </c>
      <c r="F235" s="4" t="inlineStr">
        <is>
          <t>1000.00</t>
        </is>
      </c>
    </row>
    <row collapsed="false" customFormat="false" customHeight="false" hidden="false" ht="12.1" outlineLevel="0" r="236">
      <c r="A236" s="5" t="s">
        <f>=HYPERLINK("https://leilaoonline.net/lote/detalhe/219116", "33223")</f>
      </c>
      <c r="B236" s="4" t="s">
        <f>=HYPERLINK("https://leilaoonline.net/lote/detalhe/219116", "TRANSBORDO SANTAL; ANO 2014. - FR84663. - LOC. UNIVALEM")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10.000,00</t>
        </is>
      </c>
      <c r="F236" s="4" t="inlineStr">
        <is>
          <t>1000.00</t>
        </is>
      </c>
    </row>
    <row collapsed="false" customFormat="false" customHeight="false" hidden="false" ht="12.1" outlineLevel="0" r="237">
      <c r="A237" s="5" t="s">
        <f>=HYPERLINK("https://leilaoonline.net/lote/detalhe/219125", "33224")</f>
      </c>
      <c r="B237" s="4" t="s">
        <f>=HYPERLINK("https://leilaoonline.net/lote/detalhe/219125", "TRANSBORDO ANTONIOSI; ANO 2010. - FR47044. - LOC. UNIVALEM")</f>
      </c>
      <c r="C237" s="4" t="inlineStr">
        <is>
          <t>Não vendido</t>
        </is>
      </c>
      <c r="D237" s="4" t="inlineStr">
        <is>
          <t>3</t>
        </is>
      </c>
      <c r="E237" s="5" t="inlineStr">
        <is>
          <t>12.000,00</t>
        </is>
      </c>
      <c r="F237" s="4" t="inlineStr">
        <is>
          <t>1000.00</t>
        </is>
      </c>
    </row>
    <row collapsed="false" customFormat="false" customHeight="false" hidden="false" ht="12.1" outlineLevel="0" r="238">
      <c r="A238" s="5" t="s">
        <f>=HYPERLINK("https://leilaoonline.net/lote/detalhe/219108", "33225")</f>
      </c>
      <c r="B238" s="4" t="s">
        <f>=HYPERLINK("https://leilaoonline.net/lote/detalhe/219108", "REBOQUE; ANO 2011. - FR91108. - LOC. UNIVALEM")</f>
      </c>
      <c r="C238" s="4" t="inlineStr">
        <is>
          <t>Vendido</t>
        </is>
      </c>
      <c r="D238" s="4" t="inlineStr">
        <is>
          <t>1</t>
        </is>
      </c>
      <c r="E238" s="5" t="inlineStr">
        <is>
          <t>10.000,00</t>
        </is>
      </c>
      <c r="F238" s="4" t="inlineStr">
        <is>
          <t>1000.00</t>
        </is>
      </c>
    </row>
    <row collapsed="false" customFormat="false" customHeight="false" hidden="false" ht="12.1" outlineLevel="0" r="239">
      <c r="A239" s="5" t="s">
        <f>=HYPERLINK("https://leilaoonline.net/lote/detalhe/219089", "33226")</f>
      </c>
      <c r="B239" s="4" t="s">
        <f>=HYPERLINK("https://leilaoonline.net/lote/detalhe/219089", "REBOQUE; ANO 2011. - FR173823. - LOC. UNIVALEM")</f>
      </c>
      <c r="C239" s="4" t="inlineStr">
        <is>
          <t>Vendido</t>
        </is>
      </c>
      <c r="D239" s="4" t="inlineStr">
        <is>
          <t>1</t>
        </is>
      </c>
      <c r="E239" s="5" t="inlineStr">
        <is>
          <t>10.000,00</t>
        </is>
      </c>
      <c r="F239" s="4" t="inlineStr">
        <is>
          <t>1000.00</t>
        </is>
      </c>
    </row>
    <row collapsed="false" customFormat="false" customHeight="false" hidden="false" ht="12.1" outlineLevel="0" r="240">
      <c r="A240" s="5" t="s">
        <f>=HYPERLINK("https://leilaoonline.net/lote/detalhe/219109", "33227")</f>
      </c>
      <c r="B240" s="4" t="s">
        <f>=HYPERLINK("https://leilaoonline.net/lote/detalhe/219109", "CAMINHÃO BAÚ VOLKSWAGEN 15.180 EURO3 WORKER; ANO 2010/2010; BRANCO. - FR91240. - LOC. UNIVALEM")</f>
      </c>
      <c r="C240" s="4" t="inlineStr">
        <is>
          <t>Vendido</t>
        </is>
      </c>
      <c r="D240" s="4" t="inlineStr">
        <is>
          <t>69</t>
        </is>
      </c>
      <c r="E240" s="5" t="inlineStr">
        <is>
          <t>101.000,00</t>
        </is>
      </c>
      <c r="F240" s="4" t="inlineStr">
        <is>
          <t>1000.00</t>
        </is>
      </c>
    </row>
    <row collapsed="false" customFormat="false" customHeight="false" hidden="false" ht="12.1" outlineLevel="0" r="241">
      <c r="A241" s="5" t="s">
        <f>=HYPERLINK("https://leilaoonline.net/lote/detalhe/219110", "33228")</f>
      </c>
      <c r="B241" s="4" t="s">
        <f>=HYPERLINK("https://leilaoonline.net/lote/detalhe/219110", "CARRETA DISTRIBUIDORA ANTONIOSI DT 1102. - FR103061. - LOC. UNIVALEM")</f>
      </c>
      <c r="C241" s="4" t="inlineStr">
        <is>
          <t>Não vendido</t>
        </is>
      </c>
      <c r="D241" s="4" t="inlineStr">
        <is>
          <t>2</t>
        </is>
      </c>
      <c r="E241" s="5" t="inlineStr">
        <is>
          <t>11.000,00</t>
        </is>
      </c>
      <c r="F241" s="4" t="inlineStr">
        <is>
          <t>1000.00</t>
        </is>
      </c>
    </row>
    <row collapsed="false" customFormat="false" customHeight="false" hidden="false" ht="12.1" outlineLevel="0" r="242">
      <c r="A242" s="5" t="s">
        <f>=HYPERLINK("https://leilaoonline.net/lote/detalhe/219115", "33229")</f>
      </c>
      <c r="B242" s="4" t="s">
        <f>=HYPERLINK("https://leilaoonline.net/lote/detalhe/219115", "CAMINHÃO VOKSWAGEN BMB 31-320 CNC CM; ANO 2010/2010; BRANCO. - S/FR. - LOC. BENALCOOL (VENDA SOMENTE PARA COMPRADORES DO ESTADO DE SÃO PAULO)")</f>
      </c>
      <c r="C242" s="4" t="inlineStr">
        <is>
          <t>Vendido</t>
        </is>
      </c>
      <c r="D242" s="4" t="inlineStr">
        <is>
          <t>39</t>
        </is>
      </c>
      <c r="E242" s="5" t="inlineStr">
        <is>
          <t>68.000,00</t>
        </is>
      </c>
      <c r="F242" s="4" t="inlineStr">
        <is>
          <t>1000.00</t>
        </is>
      </c>
    </row>
    <row collapsed="false" customFormat="false" customHeight="false" hidden="false" ht="12.1" outlineLevel="0" r="243">
      <c r="A243" s="5" t="s">
        <f>=HYPERLINK("https://leilaoonline.net/lote/detalhe/219121", "33230")</f>
      </c>
      <c r="B243" s="4" t="s">
        <f>=HYPERLINK("https://leilaoonline.net/lote/detalhe/219121", "COLHEDORA JOHN DEERE; ANO 2008. - FR62215. - LOC. BENALCOOL")</f>
      </c>
      <c r="C243" s="4" t="inlineStr">
        <is>
          <t>Não vendido</t>
        </is>
      </c>
      <c r="D243" s="4" t="inlineStr">
        <is>
          <t>1</t>
        </is>
      </c>
      <c r="E243" s="5" t="inlineStr">
        <is>
          <t>25.000,00</t>
        </is>
      </c>
      <c r="F243" s="4" t="inlineStr">
        <is>
          <t>1000.00</t>
        </is>
      </c>
    </row>
    <row collapsed="false" customFormat="false" customHeight="false" hidden="false" ht="12.1" outlineLevel="0" r="244">
      <c r="A244" s="5" t="s">
        <f>=HYPERLINK("https://leilaoonline.net/lote/detalhe/219118", "33231")</f>
      </c>
      <c r="B244" s="4" t="s">
        <f>=HYPERLINK("https://leilaoonline.net/lote/detalhe/219118", "PLANTADORA DMB; ANO 2012. - FR84711. - LOC. BENALCOOL")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10.000,00</t>
        </is>
      </c>
      <c r="F244" s="4" t="inlineStr">
        <is>
          <t>1000.00</t>
        </is>
      </c>
    </row>
    <row collapsed="false" customFormat="false" customHeight="false" hidden="false" ht="12.1" outlineLevel="0" r="245">
      <c r="A245" s="5" t="s">
        <f>=HYPERLINK("https://leilaoonline.net/lote/detalhe/219122", "33232")</f>
      </c>
      <c r="B245" s="4" t="s">
        <f>=HYPERLINK("https://leilaoonline.net/lote/detalhe/219122", "TRATOR VALTRA BH 210; ANO 2014. - S/FR. - LOC. BENALCOOL")</f>
      </c>
      <c r="C245" s="4" t="inlineStr">
        <is>
          <t>Vendido</t>
        </is>
      </c>
      <c r="D245" s="4" t="inlineStr">
        <is>
          <t>80</t>
        </is>
      </c>
      <c r="E245" s="5" t="inlineStr">
        <is>
          <t>104.000,00</t>
        </is>
      </c>
      <c r="F245" s="4" t="inlineStr">
        <is>
          <t>1000.00</t>
        </is>
      </c>
    </row>
    <row collapsed="false" customFormat="false" customHeight="false" hidden="false" ht="12.1" outlineLevel="0" r="246">
      <c r="A246" s="5" t="s">
        <f>=HYPERLINK("https://leilaoonline.net/lote/detalhe/219124", "33233")</f>
      </c>
      <c r="B246" s="4" t="s">
        <f>=HYPERLINK("https://leilaoonline.net/lote/detalhe/219124", "TRATOR VALTRA BH 210; ANO 2014. - S/FR. - LOC. BENALCOOL")</f>
      </c>
      <c r="C246" s="4" t="inlineStr">
        <is>
          <t>Vendido</t>
        </is>
      </c>
      <c r="D246" s="4" t="inlineStr">
        <is>
          <t>72</t>
        </is>
      </c>
      <c r="E246" s="5" t="inlineStr">
        <is>
          <t>96.000,00</t>
        </is>
      </c>
      <c r="F246" s="4" t="inlineStr">
        <is>
          <t>1000.00</t>
        </is>
      </c>
    </row>
    <row collapsed="false" customFormat="false" customHeight="false" hidden="false" ht="12.1" outlineLevel="0" r="247">
      <c r="A247" s="5" t="s">
        <f>=HYPERLINK("https://leilaoonline.net/lote/detalhe/219129", "33234")</f>
      </c>
      <c r="B247" s="4" t="s">
        <f>=HYPERLINK("https://leilaoonline.net/lote/detalhe/219129", "TRATOR VALTRA BH 210; ANO 2014. - S/FR. - LOC. BENALCOOL")</f>
      </c>
      <c r="C247" s="4" t="inlineStr">
        <is>
          <t>Vendido</t>
        </is>
      </c>
      <c r="D247" s="4" t="inlineStr">
        <is>
          <t>64</t>
        </is>
      </c>
      <c r="E247" s="5" t="inlineStr">
        <is>
          <t>88.000,00</t>
        </is>
      </c>
      <c r="F247" s="4" t="inlineStr">
        <is>
          <t>1000.00</t>
        </is>
      </c>
    </row>
    <row collapsed="false" customFormat="false" customHeight="false" hidden="false" ht="12.1" outlineLevel="0" r="248">
      <c r="A248" s="5" t="s">
        <f>=HYPERLINK("https://leilaoonline.net/lote/detalhe/219119", "33235")</f>
      </c>
      <c r="B248" s="4" t="s">
        <f>=HYPERLINK("https://leilaoonline.net/lote/detalhe/219119", "PLANTADORA; ANO 2014. - FR103913. - LOC. BENALCOOL")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10.000,00</t>
        </is>
      </c>
      <c r="F248" s="4" t="inlineStr">
        <is>
          <t>1000.00</t>
        </is>
      </c>
    </row>
    <row collapsed="false" customFormat="false" customHeight="false" hidden="false" ht="12.1" outlineLevel="0" r="249">
      <c r="A249" s="5" t="s">
        <f>=HYPERLINK("https://leilaoonline.net/lote/detalhe/219120", "33236")</f>
      </c>
      <c r="B249" s="4" t="s">
        <f>=HYPERLINK("https://leilaoonline.net/lote/detalhe/219120", "TRATOR VALTRA BH 210; ANO 2014. - S/FR. - LOC. BENALCOOL")</f>
      </c>
      <c r="C249" s="4" t="inlineStr">
        <is>
          <t>Vendido</t>
        </is>
      </c>
      <c r="D249" s="4" t="inlineStr">
        <is>
          <t>42</t>
        </is>
      </c>
      <c r="E249" s="5" t="inlineStr">
        <is>
          <t>76.000,00</t>
        </is>
      </c>
      <c r="F249" s="4" t="inlineStr">
        <is>
          <t>1000.00</t>
        </is>
      </c>
    </row>
    <row collapsed="false" customFormat="false" customHeight="false" hidden="false" ht="12.1" outlineLevel="0" r="250">
      <c r="A250" s="5" t="s">
        <f>=HYPERLINK("https://leilaoonline.net/lote/detalhe/219132", "33237")</f>
      </c>
      <c r="B250" s="4" t="s">
        <f>=HYPERLINK("https://leilaoonline.net/lote/detalhe/219132", "TRANSBORDO ANTONIOSI; ANO 2010. - FR81339. - LOC. BENALCOOL")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10.000,00</t>
        </is>
      </c>
      <c r="F250" s="4" t="inlineStr">
        <is>
          <t>1000.00</t>
        </is>
      </c>
    </row>
    <row collapsed="false" customFormat="false" customHeight="false" hidden="false" ht="12.1" outlineLevel="0" r="251">
      <c r="A251" s="5" t="s">
        <f>=HYPERLINK("https://leilaoonline.net/lote/detalhe/219111", "33238")</f>
      </c>
      <c r="B251" s="4" t="s">
        <f>=HYPERLINK("https://leilaoonline.net/lote/detalhe/219111", "TRANSBORDO SANTAL; ANO 2014. - FR173150. - LOC. BENALCOOL")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10.000,00</t>
        </is>
      </c>
      <c r="F251" s="4" t="inlineStr">
        <is>
          <t>1000.00</t>
        </is>
      </c>
    </row>
    <row collapsed="false" customFormat="false" customHeight="false" hidden="false" ht="12.1" outlineLevel="0" r="252">
      <c r="A252" s="5" t="s">
        <f>=HYPERLINK("https://leilaoonline.net/lote/detalhe/219130", "33239")</f>
      </c>
      <c r="B252" s="4" t="s">
        <f>=HYPERLINK("https://leilaoonline.net/lote/detalhe/219130", "TRANSBORDO SANTAL; ANO 2013. - FR84615. - LOC. BENALCOOL")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10.000,00</t>
        </is>
      </c>
      <c r="F252" s="4" t="inlineStr">
        <is>
          <t>1000.00</t>
        </is>
      </c>
    </row>
    <row collapsed="false" customFormat="false" customHeight="false" hidden="false" ht="12.1" outlineLevel="0" r="253">
      <c r="A253" s="5" t="s">
        <f>=HYPERLINK("https://leilaoonline.net/lote/detalhe/219127", "33240")</f>
      </c>
      <c r="B253" s="4" t="s">
        <f>=HYPERLINK("https://leilaoonline.net/lote/detalhe/219127", "TRANSBORDO ANTONIOSI; ANO 2010. - FR84983. - LOC. BENALCOOL")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10.000,00</t>
        </is>
      </c>
      <c r="F253" s="4" t="inlineStr">
        <is>
          <t>1000.00</t>
        </is>
      </c>
    </row>
    <row collapsed="false" customFormat="false" customHeight="false" hidden="false" ht="12.1" outlineLevel="0" r="254">
      <c r="A254" s="5" t="s">
        <f>=HYPERLINK("https://leilaoonline.net/lote/detalhe/219126", "33241")</f>
      </c>
      <c r="B254" s="4" t="s">
        <f>=HYPERLINK("https://leilaoonline.net/lote/detalhe/219126", "TRATOR MASSEY FERGUSSON MF 4291 4X4 4RM; ANO 2011. - FR112377. - LOC. BENALCOOL")</f>
      </c>
      <c r="C254" s="4" t="inlineStr">
        <is>
          <t>Vendido</t>
        </is>
      </c>
      <c r="D254" s="4" t="inlineStr">
        <is>
          <t>68</t>
        </is>
      </c>
      <c r="E254" s="5" t="inlineStr">
        <is>
          <t>96.000,00</t>
        </is>
      </c>
      <c r="F254" s="4" t="inlineStr">
        <is>
          <t>1000.00</t>
        </is>
      </c>
    </row>
    <row collapsed="false" customFormat="false" customHeight="false" hidden="false" ht="12.1" outlineLevel="0" r="255">
      <c r="A255" s="5" t="s">
        <f>=HYPERLINK("https://leilaoonline.net/lote/detalhe/219117", "33242")</f>
      </c>
      <c r="B255" s="4" t="s">
        <f>=HYPERLINK("https://leilaoonline.net/lote/detalhe/219117", "RESERVÁTORIO INOX. - S/FR. - LOC. DESTIVALE")</f>
      </c>
      <c r="C255" s="4" t="inlineStr">
        <is>
          <t>Vendido</t>
        </is>
      </c>
      <c r="D255" s="4" t="inlineStr">
        <is>
          <t>39</t>
        </is>
      </c>
      <c r="E255" s="5" t="inlineStr">
        <is>
          <t>25.200,00</t>
        </is>
      </c>
      <c r="F255" s="4" t="inlineStr">
        <is>
          <t>1000.00</t>
        </is>
      </c>
    </row>
    <row collapsed="false" customFormat="false" customHeight="false" hidden="false" ht="12.1" outlineLevel="0" r="256">
      <c r="A256" s="5" t="s">
        <f>=HYPERLINK("https://leilaoonline.net/lote/detalhe/219095", "33243")</f>
      </c>
      <c r="B256" s="4" t="s">
        <f>=HYPERLINK("https://leilaoonline.net/lote/detalhe/219095", "TRATOR VALTRA BT 190 4X4; ANO 2014. - FR81754. - LOC. BENALCOOL")</f>
      </c>
      <c r="C256" s="4" t="inlineStr">
        <is>
          <t>Vendido</t>
        </is>
      </c>
      <c r="D256" s="4" t="inlineStr">
        <is>
          <t>59</t>
        </is>
      </c>
      <c r="E256" s="5" t="inlineStr">
        <is>
          <t>93.000,00</t>
        </is>
      </c>
      <c r="F256" s="4" t="inlineStr">
        <is>
          <t>1000.00</t>
        </is>
      </c>
    </row>
    <row collapsed="false" customFormat="false" customHeight="false" hidden="false" ht="12.1" outlineLevel="0" r="257">
      <c r="A257" s="5" t="s">
        <f>=HYPERLINK("https://leilaoonline.net/lote/detalhe/219114", "33244")</f>
      </c>
      <c r="B257" s="4" t="s">
        <f>=HYPERLINK("https://leilaoonline.net/lote/detalhe/219114", "CARROCERIA TANQUE GASCOM. - FR91472. - LOC. DESTIVALE")</f>
      </c>
      <c r="C257" s="4" t="inlineStr">
        <is>
          <t>Não vendido</t>
        </is>
      </c>
      <c r="D257" s="4" t="inlineStr">
        <is>
          <t>32</t>
        </is>
      </c>
      <c r="E257" s="5" t="inlineStr">
        <is>
          <t>36.000,00</t>
        </is>
      </c>
      <c r="F257" s="4" t="inlineStr">
        <is>
          <t>1000.00</t>
        </is>
      </c>
    </row>
    <row collapsed="false" customFormat="false" customHeight="false" hidden="false" ht="12.1" outlineLevel="0" r="258">
      <c r="A258" s="5" t="s">
        <f>=HYPERLINK("https://leilaoonline.net/lote/detalhe/219113", "33245")</f>
      </c>
      <c r="B258" s="4" t="s">
        <f>=HYPERLINK("https://leilaoonline.net/lote/detalhe/219113", "CAMINHÃO TRANSBORDO VOLKSWAGEN 31.320 CNC 6X4; ANO 2010/2010; BRANCO. - FR91236. - LOC. DESTIVALE")</f>
      </c>
      <c r="C258" s="4" t="inlineStr">
        <is>
          <t>Não vendido</t>
        </is>
      </c>
      <c r="D258" s="4" t="inlineStr">
        <is>
          <t>90</t>
        </is>
      </c>
      <c r="E258" s="5" t="inlineStr">
        <is>
          <t>130.000,00</t>
        </is>
      </c>
      <c r="F258" s="4" t="inlineStr">
        <is>
          <t>1000.00</t>
        </is>
      </c>
    </row>
    <row collapsed="false" customFormat="false" customHeight="false" hidden="false" ht="12.1" outlineLevel="0" r="259">
      <c r="A259" s="5" t="s">
        <f>=HYPERLINK("https://leilaoonline.net/lote/detalhe/219128", "33246")</f>
      </c>
      <c r="B259" s="4" t="s">
        <f>=HYPERLINK("https://leilaoonline.net/lote/detalhe/219128", "CAMINHÃO TRANSBORDO VOLKSWAGEN 31.320 CNC 6X4; ANO 2011/2012; BRANCO. - FR91246. - LOC. DESTIVALE")</f>
      </c>
      <c r="C259" s="4" t="inlineStr">
        <is>
          <t>Vendido</t>
        </is>
      </c>
      <c r="D259" s="4" t="inlineStr">
        <is>
          <t>71</t>
        </is>
      </c>
      <c r="E259" s="5" t="inlineStr">
        <is>
          <t>110.000,00</t>
        </is>
      </c>
      <c r="F259" s="4" t="inlineStr">
        <is>
          <t>1000.00</t>
        </is>
      </c>
    </row>
    <row collapsed="false" customFormat="false" customHeight="false" hidden="false" ht="12.1" outlineLevel="0" r="260">
      <c r="A260" s="5" t="s">
        <f>=HYPERLINK("https://leilaoonline.net/lote/detalhe/219123", "33247")</f>
      </c>
      <c r="B260" s="4" t="s">
        <f>=HYPERLINK("https://leilaoonline.net/lote/detalhe/219123", "TRATOR CASE MAGNUM 235; ANO 2014. - FR61036. - LOC. DESTIVALE")</f>
      </c>
      <c r="C260" s="4" t="inlineStr">
        <is>
          <t>Lote retirado</t>
        </is>
      </c>
      <c r="D260" s="4" t="inlineStr">
        <is>
          <t>1</t>
        </is>
      </c>
      <c r="E260" s="5" t="inlineStr">
        <is>
          <t>35.000,00</t>
        </is>
      </c>
      <c r="F260" s="4" t="inlineStr">
        <is>
          <t>1000.00</t>
        </is>
      </c>
    </row>
    <row collapsed="false" customFormat="false" customHeight="false" hidden="false" ht="12.1" outlineLevel="0" r="261">
      <c r="A261" s="5" t="s">
        <f>=HYPERLINK("https://leilaoonline.net/lote/detalhe/219112", "33248")</f>
      </c>
      <c r="B261" s="4" t="s">
        <f>=HYPERLINK("https://leilaoonline.net/lote/detalhe/219112", "TRATOR CASE MAGNUM 260; ANO 2015. - FR163504. - LOC. DESTIVALE")</f>
      </c>
      <c r="C261" s="4" t="inlineStr">
        <is>
          <t>Não vendido</t>
        </is>
      </c>
      <c r="D261" s="4" t="inlineStr">
        <is>
          <t>93</t>
        </is>
      </c>
      <c r="E261" s="5" t="inlineStr">
        <is>
          <t>127.000,00</t>
        </is>
      </c>
      <c r="F261" s="4" t="inlineStr">
        <is>
          <t>1000.00</t>
        </is>
      </c>
    </row>
    <row collapsed="false" customFormat="false" customHeight="false" hidden="false" ht="12.1" outlineLevel="0" r="262">
      <c r="A262" s="5" t="s">
        <f>=HYPERLINK("https://leilaoonline.net/lote/detalhe/219021", "33249")</f>
      </c>
      <c r="B262" s="4" t="s">
        <f>=HYPERLINK("https://leilaoonline.net/lote/detalhe/219021", "CARRETINHA DE SERVIÇOS GERAIS. - FR122804. - LOC. SERRA")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3.000,00</t>
        </is>
      </c>
      <c r="F262" s="4" t="inlineStr">
        <is>
          <t>100.00</t>
        </is>
      </c>
    </row>
    <row collapsed="false" customFormat="false" customHeight="false" hidden="false" ht="12.1" outlineLevel="0" r="263">
      <c r="A263" s="5" t="s">
        <f>=HYPERLINK("https://leilaoonline.net/lote/detalhe/219010", "33250")</f>
      </c>
      <c r="B263" s="4" t="s">
        <f>=HYPERLINK("https://leilaoonline.net/lote/detalhe/219010", "TRANSBORDO SANTAL; ANO 2015. - FR17308. - LOC. SERRA")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10.000,00</t>
        </is>
      </c>
      <c r="F263" s="4" t="inlineStr">
        <is>
          <t>1000.00</t>
        </is>
      </c>
    </row>
    <row collapsed="false" customFormat="false" customHeight="false" hidden="false" ht="12.1" outlineLevel="0" r="264">
      <c r="A264" s="5" t="s">
        <f>=HYPERLINK("https://leilaoonline.net/lote/detalhe/219012", "33251")</f>
      </c>
      <c r="B264" s="4" t="s">
        <f>=HYPERLINK("https://leilaoonline.net/lote/detalhe/219012", "CARROCERIA TRANSBORDO ANTONIOSI ATA 12000SC; ANO 2014. - S/FR. - LOC. SERRA")</f>
      </c>
      <c r="C264" s="4" t="inlineStr">
        <is>
          <t>Não vendido</t>
        </is>
      </c>
      <c r="D264" s="4" t="inlineStr">
        <is>
          <t>6</t>
        </is>
      </c>
      <c r="E264" s="5" t="inlineStr">
        <is>
          <t>15.000,00</t>
        </is>
      </c>
      <c r="F264" s="4" t="inlineStr">
        <is>
          <t>1000.00</t>
        </is>
      </c>
    </row>
    <row collapsed="false" customFormat="false" customHeight="false" hidden="false" ht="12.1" outlineLevel="0" r="265">
      <c r="A265" s="5" t="s">
        <f>=HYPERLINK("https://leilaoonline.net/lote/detalhe/219018", "33252")</f>
      </c>
      <c r="B265" s="4" t="s">
        <f>=HYPERLINK("https://leilaoonline.net/lote/detalhe/219018", "CARROCERIA TRANSBORDO ANTONIOSI ATA 12000SC; ANO 2013. - FR1014897. - LOC. SERRA")</f>
      </c>
      <c r="C265" s="4" t="inlineStr">
        <is>
          <t>Não vendido</t>
        </is>
      </c>
      <c r="D265" s="4" t="inlineStr">
        <is>
          <t>5</t>
        </is>
      </c>
      <c r="E265" s="5" t="inlineStr">
        <is>
          <t>14.000,00</t>
        </is>
      </c>
      <c r="F265" s="4" t="inlineStr">
        <is>
          <t>1000.00</t>
        </is>
      </c>
    </row>
    <row collapsed="false" customFormat="false" customHeight="false" hidden="false" ht="12.1" outlineLevel="0" r="266">
      <c r="A266" s="5" t="s">
        <f>=HYPERLINK("https://leilaoonline.net/lote/detalhe/219015", "33253")</f>
      </c>
      <c r="B266" s="4" t="s">
        <f>=HYPERLINK("https://leilaoonline.net/lote/detalhe/219015", "HIDRO ROLL TURBO MAQ. - FR11004013. - LOC. SERRA")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5.000,00</t>
        </is>
      </c>
      <c r="F266" s="4" t="inlineStr">
        <is>
          <t>1000.00</t>
        </is>
      </c>
    </row>
    <row collapsed="false" customFormat="false" customHeight="false" hidden="false" ht="12.1" outlineLevel="0" r="267">
      <c r="A267" s="5" t="s">
        <f>=HYPERLINK("https://leilaoonline.net/lote/detalhe/219024", "33261")</f>
      </c>
      <c r="B267" s="4" t="s">
        <f>=HYPERLINK("https://leilaoonline.net/lote/detalhe/219024", "SUCATA DE TRATOR JOHN DEERE / SUCATA DE CABINE TRATOR CASE. - S/FR. - LOC. SERRA")</f>
      </c>
      <c r="C267" s="4" t="inlineStr">
        <is>
          <t>Vendido</t>
        </is>
      </c>
      <c r="D267" s="4" t="inlineStr">
        <is>
          <t>21</t>
        </is>
      </c>
      <c r="E267" s="5" t="inlineStr">
        <is>
          <t>42.000,00</t>
        </is>
      </c>
      <c r="F267" s="4" t="inlineStr">
        <is>
          <t>1000.00</t>
        </is>
      </c>
    </row>
    <row collapsed="false" customFormat="false" customHeight="false" hidden="false" ht="12.1" outlineLevel="0" r="268">
      <c r="A268" s="5" t="s">
        <f>=HYPERLINK("https://leilaoonline.net/lote/detalhe/219023", "33262")</f>
      </c>
      <c r="B268" s="4" t="s">
        <f>=HYPERLINK("https://leilaoonline.net/lote/detalhe/219023", "CAMINHÃO BAÚ VOLKSWAGEN 15.180 EURO3 WORKER; ANO 2011/2012; BRANCO. - FR360449. - LOC. SERRA")</f>
      </c>
      <c r="C268" s="4" t="inlineStr">
        <is>
          <t>Não vendido</t>
        </is>
      </c>
      <c r="D268" s="4" t="inlineStr">
        <is>
          <t>65</t>
        </is>
      </c>
      <c r="E268" s="5" t="inlineStr">
        <is>
          <t>123.000,00</t>
        </is>
      </c>
      <c r="F268" s="4" t="inlineStr">
        <is>
          <t>1000.00</t>
        </is>
      </c>
    </row>
    <row collapsed="false" customFormat="false" customHeight="false" hidden="false" ht="12.1" outlineLevel="0" r="269">
      <c r="A269" s="5" t="s">
        <f>=HYPERLINK("https://leilaoonline.net/lote/detalhe/219020", "33263")</f>
      </c>
      <c r="B269" s="4" t="s">
        <f>=HYPERLINK("https://leilaoonline.net/lote/detalhe/219020", "TRANSBORDO SANTAL; ANO 2015. - FR17317. - LOC. SERRA")</f>
      </c>
      <c r="C269" s="4" t="inlineStr">
        <is>
          <t>Não vendido</t>
        </is>
      </c>
      <c r="D269" s="4" t="inlineStr">
        <is>
          <t>0</t>
        </is>
      </c>
      <c r="E269" s="5" t="inlineStr">
        <is>
          <t>10.000,00</t>
        </is>
      </c>
      <c r="F269" s="4" t="inlineStr">
        <is>
          <t>1000.00</t>
        </is>
      </c>
    </row>
    <row collapsed="false" customFormat="false" customHeight="false" hidden="false" ht="12.1" outlineLevel="0" r="270">
      <c r="A270" s="5" t="s">
        <f>=HYPERLINK("https://leilaoonline.net/lote/detalhe/219008", "33264")</f>
      </c>
      <c r="B270" s="4" t="s">
        <f>=HYPERLINK("https://leilaoonline.net/lote/detalhe/219008", "PULVERIZADOR VALTRA; ANO 2011. - FR163490. - LOC. SERRA")</f>
      </c>
      <c r="C270" s="4" t="inlineStr">
        <is>
          <t>Vendido</t>
        </is>
      </c>
      <c r="D270" s="4" t="inlineStr">
        <is>
          <t>60</t>
        </is>
      </c>
      <c r="E270" s="5" t="inlineStr">
        <is>
          <t>91.000,00</t>
        </is>
      </c>
      <c r="F270" s="4" t="inlineStr">
        <is>
          <t>1000.00</t>
        </is>
      </c>
    </row>
    <row collapsed="false" customFormat="false" customHeight="false" hidden="false" ht="12.1" outlineLevel="0" r="271">
      <c r="A271" s="5" t="s">
        <f>=HYPERLINK("https://leilaoonline.net/lote/detalhe/219136", "33265")</f>
      </c>
      <c r="B271" s="4" t="s">
        <f>=HYPERLINK("https://leilaoonline.net/lote/detalhe/219136", "SUCATA DE TRATOR JOHN DEERE 7225J 4X4; ANO 2016. - FR115691. - LOC. ZANIN (ARARAQUARA)")</f>
      </c>
      <c r="C271" s="4" t="inlineStr">
        <is>
          <t>Não vendido</t>
        </is>
      </c>
      <c r="D271" s="4" t="inlineStr">
        <is>
          <t>3</t>
        </is>
      </c>
      <c r="E271" s="5" t="inlineStr">
        <is>
          <t>17.000,00</t>
        </is>
      </c>
      <c r="F271" s="4" t="inlineStr">
        <is>
          <t>1000.00</t>
        </is>
      </c>
    </row>
    <row collapsed="false" customFormat="false" customHeight="false" hidden="false" ht="12.1" outlineLevel="0" r="272">
      <c r="A272" s="5" t="s">
        <f>=HYPERLINK("https://leilaoonline.net/lote/detalhe/219011", "33266")</f>
      </c>
      <c r="B272" s="4" t="s">
        <f>=HYPERLINK("https://leilaoonline.net/lote/detalhe/219011", "TRATOR VALTRA BH 210i ; ANO 2014.- FR61029. - LOC. ZANIN (ARARAQUARA)")</f>
      </c>
      <c r="C272" s="4" t="inlineStr">
        <is>
          <t>Vendido</t>
        </is>
      </c>
      <c r="D272" s="4" t="inlineStr">
        <is>
          <t>90</t>
        </is>
      </c>
      <c r="E272" s="5" t="inlineStr">
        <is>
          <t>232.000,00</t>
        </is>
      </c>
      <c r="F272" s="4" t="inlineStr">
        <is>
          <t>2000.00</t>
        </is>
      </c>
    </row>
    <row collapsed="false" customFormat="false" customHeight="false" hidden="false" ht="12.1" outlineLevel="0" r="273">
      <c r="A273" s="5" t="s">
        <f>=HYPERLINK("https://leilaoonline.net/lote/detalhe/218765", "33318")</f>
      </c>
      <c r="B273" s="4" t="s">
        <f>=HYPERLINK("https://leilaoonline.net/lote/detalhe/218765", "COMPRESSOR MYCOM. - FR2285. - LOC. MB")</f>
      </c>
      <c r="C273" s="4" t="inlineStr">
        <is>
          <t>Vendido</t>
        </is>
      </c>
      <c r="D273" s="4" t="inlineStr">
        <is>
          <t>25</t>
        </is>
      </c>
      <c r="E273" s="5" t="inlineStr">
        <is>
          <t>15.000,00</t>
        </is>
      </c>
      <c r="F273" s="4" t="inlineStr">
        <is>
          <t>500.00</t>
        </is>
      </c>
    </row>
    <row collapsed="false" customFormat="false" customHeight="false" hidden="false" ht="12.1" outlineLevel="0" r="274">
      <c r="A274" s="5" t="s">
        <f>=HYPERLINK("https://leilaoonline.net/lote/detalhe/218772", "33319")</f>
      </c>
      <c r="B274" s="4" t="s">
        <f>=HYPERLINK("https://leilaoonline.net/lote/detalhe/218772", "CARROCERIA TRANSBORDO SANTAL CAIXOTE DUPLO; ANO 2011. - FR289498. - LOC. MB")</f>
      </c>
      <c r="C274" s="4" t="inlineStr">
        <is>
          <t>Vendido</t>
        </is>
      </c>
      <c r="D274" s="4" t="inlineStr">
        <is>
          <t>6</t>
        </is>
      </c>
      <c r="E274" s="5" t="inlineStr">
        <is>
          <t>10.000,00</t>
        </is>
      </c>
      <c r="F274" s="4" t="inlineStr">
        <is>
          <t>1000.00</t>
        </is>
      </c>
    </row>
    <row collapsed="false" customFormat="false" customHeight="false" hidden="false" ht="12.1" outlineLevel="0" r="275">
      <c r="A275" s="5" t="s">
        <f>=HYPERLINK("https://leilaoonline.net/lote/detalhe/218767", "33320")</f>
      </c>
      <c r="B275" s="4" t="s">
        <f>=HYPERLINK("https://leilaoonline.net/lote/detalhe/218767", "CARROCERIA TRANSBORDO SANTAL CAIXOTE DUPLO; ANO 2011 . - FR289497. - LOC. MB")</f>
      </c>
      <c r="C275" s="4" t="inlineStr">
        <is>
          <t>Vendido</t>
        </is>
      </c>
      <c r="D275" s="4" t="inlineStr">
        <is>
          <t>6</t>
        </is>
      </c>
      <c r="E275" s="5" t="inlineStr">
        <is>
          <t>10.000,00</t>
        </is>
      </c>
      <c r="F275" s="4" t="inlineStr">
        <is>
          <t>1000.00</t>
        </is>
      </c>
    </row>
    <row collapsed="false" customFormat="false" customHeight="false" hidden="false" ht="12.1" outlineLevel="0" r="276">
      <c r="A276" s="5" t="s">
        <f>=HYPERLINK("https://leilaoonline.net/lote/detalhe/218773", "33321")</f>
      </c>
      <c r="B276" s="4" t="s">
        <f>=HYPERLINK("https://leilaoonline.net/lote/detalhe/218773", "CARROCERIA TRANSBORDO SANTAL CAIXOTE DUPLO; ANO 2011. - S/FR. - LOC. MB")</f>
      </c>
      <c r="C276" s="4" t="inlineStr">
        <is>
          <t>Vendido</t>
        </is>
      </c>
      <c r="D276" s="4" t="inlineStr">
        <is>
          <t>5</t>
        </is>
      </c>
      <c r="E276" s="5" t="inlineStr">
        <is>
          <t>9.000,00</t>
        </is>
      </c>
      <c r="F276" s="4" t="inlineStr">
        <is>
          <t>1000.00</t>
        </is>
      </c>
    </row>
    <row collapsed="false" customFormat="false" customHeight="false" hidden="false" ht="12.1" outlineLevel="0" r="277">
      <c r="A277" s="5" t="s">
        <f>=HYPERLINK("https://leilaoonline.net/lote/detalhe/218768", "33322")</f>
      </c>
      <c r="B277" s="4" t="s">
        <f>=HYPERLINK("https://leilaoonline.net/lote/detalhe/218768", "APROX. 110 MOTORES ELÉTRICOS / MOTO GRADE COM PAÍNEL. (TANQUE 120 LITROS) - S/FR. - LOC. VALE DO ROSÁRIO")</f>
      </c>
      <c r="C277" s="4" t="inlineStr">
        <is>
          <t>Vendido</t>
        </is>
      </c>
      <c r="D277" s="4" t="inlineStr">
        <is>
          <t>49</t>
        </is>
      </c>
      <c r="E277" s="5" t="inlineStr">
        <is>
          <t>62.000,00</t>
        </is>
      </c>
      <c r="F277" s="4" t="inlineStr">
        <is>
          <t>1000.00</t>
        </is>
      </c>
    </row>
    <row collapsed="false" customFormat="false" customHeight="false" hidden="false" ht="12.1" outlineLevel="0" r="278">
      <c r="A278" s="5" t="s">
        <f>=HYPERLINK("https://leilaoonline.net/lote/detalhe/218766", "33323")</f>
      </c>
      <c r="B278" s="4" t="s">
        <f>=HYPERLINK("https://leilaoonline.net/lote/detalhe/218766", "TRATOR CASE QUEIMADO. - S/FR. - LOC. VALE DO ROSÁRIO")</f>
      </c>
      <c r="C278" s="4" t="inlineStr">
        <is>
          <t>Vendido</t>
        </is>
      </c>
      <c r="D278" s="4" t="inlineStr">
        <is>
          <t>10</t>
        </is>
      </c>
      <c r="E278" s="5" t="inlineStr">
        <is>
          <t>24.000,00</t>
        </is>
      </c>
      <c r="F278" s="4" t="inlineStr">
        <is>
          <t>1000.00</t>
        </is>
      </c>
    </row>
    <row collapsed="false" customFormat="false" customHeight="false" hidden="false" ht="12.1" outlineLevel="0" r="279">
      <c r="A279" s="5" t="s">
        <f>=HYPERLINK("https://leilaoonline.net/lote/detalhe/218771", "33324")</f>
      </c>
      <c r="B279" s="4" t="s">
        <f>=HYPERLINK("https://leilaoonline.net/lote/detalhe/218771", "APROX. 45 ITENS. - MOTO BOMBA; REDUTORES; ENGRENAGENS; MOTORES E VÁLVULAS. - S/FR. - LOC. JUNQUEIRA")</f>
      </c>
      <c r="C279" s="4" t="inlineStr">
        <is>
          <t>Vendido</t>
        </is>
      </c>
      <c r="D279" s="4" t="inlineStr">
        <is>
          <t>91</t>
        </is>
      </c>
      <c r="E279" s="5" t="inlineStr">
        <is>
          <t>59.000,00</t>
        </is>
      </c>
      <c r="F279" s="4" t="inlineStr">
        <is>
          <t>1000.00</t>
        </is>
      </c>
    </row>
    <row collapsed="false" customFormat="false" customHeight="false" hidden="false" ht="12.1" outlineLevel="0" r="280">
      <c r="A280" s="5" t="s">
        <f>=HYPERLINK("https://leilaoonline.net/lote/detalhe/218770", "33325")</f>
      </c>
      <c r="B280" s="4" t="s">
        <f>=HYPERLINK("https://leilaoonline.net/lote/detalhe/218770", "ENGRENAGEM 118 DENTES VOLANDEIRA. - S/FR. - LOC. JUNQUEIRA")</f>
      </c>
      <c r="C280" s="4" t="inlineStr">
        <is>
          <t>Não vendido</t>
        </is>
      </c>
      <c r="D280" s="4" t="inlineStr">
        <is>
          <t>1</t>
        </is>
      </c>
      <c r="E280" s="5" t="inlineStr">
        <is>
          <t>1.000,00</t>
        </is>
      </c>
      <c r="F280" s="4" t="inlineStr">
        <is>
          <t>100.00</t>
        </is>
      </c>
    </row>
    <row collapsed="false" customFormat="false" customHeight="false" hidden="false" ht="12.1" outlineLevel="0" r="281">
      <c r="A281" s="5" t="s">
        <f>=HYPERLINK("https://leilaoonline.net/lote/detalhe/218769", "33326")</f>
      </c>
      <c r="B281" s="4" t="s">
        <f>=HYPERLINK("https://leilaoonline.net/lote/detalhe/218769", " TANQUE DE FIBRA. (APROX. 29 MIL LITROS) - S/FR. - LOC. JUNQUEIRA")</f>
      </c>
      <c r="C281" s="4" t="inlineStr">
        <is>
          <t>Não vendido</t>
        </is>
      </c>
      <c r="D281" s="4" t="inlineStr">
        <is>
          <t>7</t>
        </is>
      </c>
      <c r="E281" s="5" t="inlineStr">
        <is>
          <t>1.700,00</t>
        </is>
      </c>
      <c r="F281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2026-03-31T06:52:50.00Z</dcterms:created>
  <dc:creator>Tellks Tecnologia</dc:creator>
  <cp:revision>0</cp:revision>
</cp:coreProperties>
</file>