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+350 LOTES: 35 CAMINHÕES - 15 TRATORES - REBOQUES - 40 TRANSBORDOS - 11 MOTO BOMBAS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=HYPERLINK("https://leilaoonline.net/lote/detalhe/214454", "1077")</f>
      </c>
      <c r="B11" s="4" t="s">
        <f>=HYPERLINK("https://leilaoonline.net/lote/detalhe/214454", "REBOQUE SERGOMEL RSCPI 4E; ANO 2015/2015; AZUL; PALHA 1CX 105 M³. - FR97808. - LOC. TARUMÃ")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=HYPERLINK("https://leilaoonline.net/lote/detalhe/214452", "1235")</f>
      </c>
      <c r="B12" s="4" t="s">
        <f>=HYPERLINK("https://leilaoonline.net/lote/detalhe/214452", "HONDA NXR125 BROS KS; ANO 2003/2003; AZUL. - FR5006040. - LOC. PASSATEMPO")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=HYPERLINK("https://leilaoonline.net/lote/detalhe/214431", "5035")</f>
      </c>
      <c r="B13" s="4" t="s">
        <f>=HYPERLINK("https://leilaoonline.net/lote/detalhe/214431",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=HYPERLINK("https://leilaoonline.net/lote/detalhe/216707", "5073")</f>
      </c>
      <c r="B14" s="4" t="s">
        <f>=HYPERLINK("https://leilaoonline.net/lote/detalhe/216707", "TRANSBORDO DE CANA CIVEMASA TRIDEM; ANO 2006. - FR4004103. - LOC. VALE DO ROSÁRIO")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=HYPERLINK("https://leilaoonline.net/lote/detalhe/214438", "8000")</f>
      </c>
      <c r="B15" s="4" t="s">
        <f>=HYPERLINK("https://leilaoonline.net/lote/detalhe/214438", " 3 CULTIVADORES. - FR4445230 /FR4445018 /FR4445231. - LOC CAARAPÓ")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=HYPERLINK("https://leilaoonline.net/lote/detalhe/214429", "8003")</f>
      </c>
      <c r="B16" s="4" t="s">
        <f>=HYPERLINK("https://leilaoonline.net/lote/detalhe/214429", "CAMINHÃO MERCEDES BENZ 3344S 6X4; ANO 2016/2016; BRANCO. - FR4415055. - CAARAPÓ")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=HYPERLINK("https://leilaoonline.net/lote/detalhe/214428", "8050")</f>
      </c>
      <c r="B17" s="4" t="s">
        <f>=HYPERLINK("https://leilaoonline.net/lote/detalhe/214428", "1 GERADOR À DIESEL CATERPILLAR 450K COM MOTOR. - FR292169/FR292168. - LOC. PASSATEMPO")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=HYPERLINK("https://leilaoonline.net/lote/detalhe/214450", "9019")</f>
      </c>
      <c r="B18" s="4" t="s">
        <f>=HYPERLINK("https://leilaoonline.net/lote/detalhe/214450", "CARRETINHA DE TUBO; ANO 2017. - FR4445289. - LOC. CAARAPÓ")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=HYPERLINK("https://leilaoonline.net/lote/detalhe/214430", "9023")</f>
      </c>
      <c r="B19" s="4" t="s">
        <f>=HYPERLINK("https://leilaoonline.net/lote/detalhe/214430", "CARRETINHA DE TUBO, ANO 2017. - FR4445290.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=HYPERLINK("https://leilaoonline.net/lote/detalhe/214432", "9028")</f>
      </c>
      <c r="B20" s="4" t="s">
        <f>=HYPERLINK("https://leilaoonline.net/lote/detalhe/214432", "2 ENLEIRADEIRAS DE PALHA. - FR4445292. - LOC. CAARAPÓ")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=HYPERLINK("https://leilaoonline.net/lote/detalhe/214458", "11487")</f>
      </c>
      <c r="B21" s="4" t="s">
        <f>=HYPERLINK("https://leilaoonline.net/lote/detalhe/214458", "SEMI REBOQUE RANDON SR CA; ANO 2006/2007; AZUL. - FR10004116. - LOC. CONTINENTAL")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=HYPERLINK("https://leilaoonline.net/lote/detalhe/214468", "11488")</f>
      </c>
      <c r="B22" s="4" t="s">
        <f>=HYPERLINK("https://leilaoonline.net/lote/detalhe/214468", "SEMI REBOQUE RANDON SR CA; ANO 2002/2002; VERDE. - FR10004170. - LOC. CONTINENTAL")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=HYPERLINK("https://leilaoonline.net/lote/detalhe/214473", "11490")</f>
      </c>
      <c r="B23" s="4" t="s">
        <f>=HYPERLINK("https://leilaoonline.net/lote/detalhe/214473",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=HYPERLINK("https://leilaoonline.net/lote/detalhe/214469", "11496")</f>
      </c>
      <c r="B24" s="4" t="s">
        <f>=HYPERLINK("https://leilaoonline.net/lote/detalhe/214469", "SEMI REBOQUE RANDON SR CA; ANO 2003/2003; AZUL. - FR10004086. - LOC. CONTINENTAL")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=HYPERLINK("https://leilaoonline.net/lote/detalhe/215993", "16484")</f>
      </c>
      <c r="B25" s="4" t="s">
        <f>=HYPERLINK("https://leilaoonline.net/lote/detalhe/215993",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=HYPERLINK("https://leilaoonline.net/lote/detalhe/214459", "16573")</f>
      </c>
      <c r="B26" s="4" t="s">
        <f>=HYPERLINK("https://leilaoonline.net/lote/detalhe/214459", "PLANTADORA DMB; ANO 2012. - S/FR. - LOC. BENALCOOL")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=HYPERLINK("https://leilaoonline.net/lote/detalhe/214421", "17332")</f>
      </c>
      <c r="B27" s="4" t="s">
        <f>=HYPERLINK("https://leilaoonline.net/lote/detalhe/214421", "CARRETA FARDO DE PALHA M12010, ANO 2012. - FR48311. - LOC. IPAUSSU")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=HYPERLINK("https://leilaoonline.net/lote/detalhe/214460", "17363")</f>
      </c>
      <c r="B28" s="4" t="s">
        <f>=HYPERLINK("https://leilaoonline.net/lote/detalhe/214460", "ÔNIBUS MERCEDES BENZ OF 1315; ANO 1992/1992; BEGE. - FR81353. - LOC. BENALCOOL")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=HYPERLINK("https://leilaoonline.net/lote/detalhe/214436", "20581")</f>
      </c>
      <c r="B29" s="4" t="s">
        <f>=HYPERLINK("https://leilaoonline.net/lote/detalhe/214436", "ENXADA HOWARD ENGUNERING LIMITED ROTATIVA; ANO 2013. - FR57323.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=HYPERLINK("https://leilaoonline.net/lote/detalhe/214433", "20647")</f>
      </c>
      <c r="B30" s="4" t="s">
        <f>=HYPERLINK("https://leilaoonline.net/lote/detalhe/214433", "TRITURADOR DE CANA TRC VICON; ANO 2013. - FR25280. - LOC. BOM RETIRO")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=HYPERLINK("https://leilaoonline.net/lote/detalhe/214434", "30087")</f>
      </c>
      <c r="B31" s="4" t="s">
        <f>=HYPERLINK("https://leilaoonline.net/lote/detalhe/214434", "ELIMINADOR DE SOQUEIRA; ANO 2018. - FR140065. - LOC. RAFARD")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=HYPERLINK("https://leilaoonline.net/lote/detalhe/214471", "31016")</f>
      </c>
      <c r="B32" s="4" t="s">
        <f>=HYPERLINK("https://leilaoonline.net/lote/detalhe/214471", "SEMI REBOQUE RANDON SR CA; ANO 2003/2003; AZUL. - FR10004089.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=HYPERLINK("https://leilaoonline.net/lote/detalhe/215302", "31017")</f>
      </c>
      <c r="B33" s="4" t="s">
        <f>=HYPERLINK("https://leilaoonline.net/lote/detalhe/215302", "SEMI REBOQUE RANDON SR CN HI; ANO 1997/1997; AZUL. - FR14004215. - LOC. CONTINENTAL")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=HYPERLINK("https://leilaoonline.net/lote/detalhe/214467", "31018")</f>
      </c>
      <c r="B34" s="4" t="s">
        <f>=HYPERLINK("https://leilaoonline.net/lote/detalhe/214467", "SEMI REBOQUE RANDON SR CA; ANO 2002/2003; AZUL. - FR10004077. - LOC. CONTINENTAL")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=HYPERLINK("https://leilaoonline.net/lote/detalhe/214462", "31024")</f>
      </c>
      <c r="B35" s="4" t="s">
        <f>=HYPERLINK("https://leilaoonline.net/lote/detalhe/214462", "SEMI REBOQUE RODOFORT SRR CN; ANO 2005/2005; AZUL. - FR14004284. - LOC. CONTINENTAL")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=HYPERLINK("https://leilaoonline.net/lote/detalhe/215990", "31119")</f>
      </c>
      <c r="B36" s="4" t="s">
        <f>=HYPERLINK("https://leilaoonline.net/lote/detalhe/215990", " TRANSBORDO ANTONIOSI ATA 12000; CAP. 12 TON. ANO 2015. - FR188708. - LOC. GASA")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=HYPERLINK("https://leilaoonline.net/lote/detalhe/214440", "31190")</f>
      </c>
      <c r="B37" s="4" t="s">
        <f>=HYPERLINK("https://leilaoonline.net/lote/detalhe/214440", "1 CULTIVADOR CARDEROLI; ANO 2015. - FR74033. - LOC. DIAMANTE")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=HYPERLINK("https://leilaoonline.net/lote/detalhe/214443", "31191")</f>
      </c>
      <c r="B38" s="4" t="s">
        <f>=HYPERLINK("https://leilaoonline.net/lote/detalhe/214443", "1 CULTIVADOR CARDEROLI; ANO 2015. - FR74032. - LOC DIAMANTE")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=HYPERLINK("https://leilaoonline.net/lote/detalhe/214441", "31192")</f>
      </c>
      <c r="B39" s="4" t="s">
        <f>=HYPERLINK("https://leilaoonline.net/lote/detalhe/214441", "1 CULTIVADOR 2L CARDEROLI; ANO 2015. - FR107852. - LOC DIAMANTE")</f>
      </c>
      <c r="C39" s="4" t="inlineStr">
        <is>
          <t>Vendido</t>
        </is>
      </c>
      <c r="D39" s="4" t="inlineStr">
        <is>
          <t>10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=HYPERLINK("https://leilaoonline.net/lote/detalhe/215287", "31279")</f>
      </c>
      <c r="B40" s="4" t="s">
        <f>=HYPERLINK("https://leilaoonline.net/lote/detalhe/215287", "TRANSBORDO CIVEMASA TAC 12000; ANO 2008. - FR4445045. - LOC. CAARAPÓ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=HYPERLINK("https://leilaoonline.net/lote/detalhe/215286", "31280")</f>
      </c>
      <c r="B41" s="4" t="s">
        <f>=HYPERLINK("https://leilaoonline.net/lote/detalhe/215286", "TRANSBORDO CIVEMASA TAC 12000; ANO 2008. - FR4445043. - LOC: CAARAPÓ")</f>
      </c>
      <c r="C41" s="4" t="inlineStr">
        <is>
          <t>Vendido</t>
        </is>
      </c>
      <c r="D41" s="4" t="inlineStr">
        <is>
          <t>3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=HYPERLINK("https://leilaoonline.net/lote/detalhe/214442", "31309")</f>
      </c>
      <c r="B42" s="4" t="s">
        <f>=HYPERLINK("https://leilaoonline.net/lote/detalhe/214442", "TALHA ELÉTRICA MOTORIZADA. - FR124156. - LOC. CAARAPÓ")</f>
      </c>
      <c r="C42" s="4" t="inlineStr">
        <is>
          <t>Vendido</t>
        </is>
      </c>
      <c r="D42" s="4" t="inlineStr">
        <is>
          <t>31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=HYPERLINK("https://leilaoonline.net/lote/detalhe/214418", "31312")</f>
      </c>
      <c r="B43" s="4" t="s">
        <f>=HYPERLINK("https://leilaoonline.net/lote/detalhe/214418", "DISTRIBUIDORA DE ADUBO 3 HASTE DMB; ANO 2014. - FR9003126. - LOC RIO BRILHANTE")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=HYPERLINK("https://leilaoonline.net/lote/detalhe/214416", "31439")</f>
      </c>
      <c r="B44" s="4" t="s">
        <f>=HYPERLINK("https://leilaoonline.net/lote/detalhe/214416", "CARRETA SERVIÇOS DIVERSOS; ANO 2012. - FR10003166. - LOC CONTINENTAL")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=HYPERLINK("https://leilaoonline.net/lote/detalhe/214417", "31443")</f>
      </c>
      <c r="B45" s="4" t="s">
        <f>=HYPERLINK("https://leilaoonline.net/lote/detalhe/214417", "2 CARRETINHAS. - FR10003212/FR10003213. - LOC CONTINENTAL")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=HYPERLINK("https://leilaoonline.net/lote/detalhe/214437", "31457")</f>
      </c>
      <c r="B46" s="4" t="s">
        <f>=HYPERLINK("https://leilaoonline.net/lote/detalhe/214437", "PREPARADOR DE SOLO PSPC ANTONIOSI; ANO 2013. - FR140003.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=HYPERLINK("https://leilaoonline.net/lote/detalhe/214410", "31529")</f>
      </c>
      <c r="B47" s="4" t="s">
        <f>=HYPERLINK("https://leilaoonline.net/lote/detalhe/214410",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55.000,00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=HYPERLINK("https://leilaoonline.net/lote/detalhe/214501", "31659")</f>
      </c>
      <c r="B48" s="4" t="s">
        <f>=HYPERLINK("https://leilaoonline.net/lote/detalhe/214501", "CARROCERIA COMBOIO GASCOM. - S/FR. - LOC. CONTINENTAL")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=HYPERLINK("https://leilaoonline.net/lote/detalhe/214424", "31688")</f>
      </c>
      <c r="B49" s="4" t="s">
        <f>=HYPERLINK("https://leilaoonline.net/lote/detalhe/214424", "4 CARRETINHAS DE SERVIÇOS GERAIS; ANO 2013. (VENDA SEM DOC.) - FR9003113/FR9003114/FR9003115/FR9003116. - LOC. MARACAJU")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=HYPERLINK("https://leilaoonline.net/lote/detalhe/214939", "31706")</f>
      </c>
      <c r="B50" s="4" t="s">
        <f>=HYPERLINK("https://leilaoonline.net/lote/detalhe/214939", "TRATOR VALTRA BM 100; ANO 2007. - FR5002326. - LOC. PASSATEMPO")</f>
      </c>
      <c r="C50" s="4" t="inlineStr">
        <is>
          <t>Vendido</t>
        </is>
      </c>
      <c r="D50" s="4" t="inlineStr">
        <is>
          <t>22</t>
        </is>
      </c>
      <c r="E50" s="5" t="inlineStr">
        <is>
          <t>56.000,00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=HYPERLINK("https://leilaoonline.net/lote/detalhe/215347", "31733")</f>
      </c>
      <c r="B51" s="4" t="s">
        <f>=HYPERLINK("https://leilaoonline.net/lote/detalhe/215347", "TRATOR JOHN DEERE 7210J 4X4; ANO 2016. - FR4435154. - LOC. CAARAPÓ")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=HYPERLINK("https://leilaoonline.net/lote/detalhe/214414", "31746")</f>
      </c>
      <c r="B52" s="4" t="s">
        <f>=HYPERLINK("https://leilaoonline.net/lote/detalhe/214414", "PLANTADORA DE CANA DMB PCP 6000; ANO 2016. - FR14003641. - LOC. SANTA ELISA")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=HYPERLINK("https://leilaoonline.net/lote/detalhe/214413", "31747")</f>
      </c>
      <c r="B53" s="4" t="s">
        <f>=HYPERLINK("https://leilaoonline.net/lote/detalhe/214413", "PLANTADORA DE CANA DMB PCP 6000; ANO 2016. - FR14003643. - LOC. SANTA ELISA")</f>
      </c>
      <c r="C53" s="4" t="inlineStr">
        <is>
          <t>Lote retirado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=HYPERLINK("https://leilaoonline.net/lote/detalhe/215322", "31760")</f>
      </c>
      <c r="B54" s="4" t="s">
        <f>=HYPERLINK("https://leilaoonline.net/lote/detalhe/215322", "PÁ CARREGADEIRA CATERPILLAR 930R; ANO 1976. - FR11002136. - LOC. VALE DO ROSÁRIO 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=HYPERLINK("https://leilaoonline.net/lote/detalhe/214445", "31783")</f>
      </c>
      <c r="B55" s="4" t="s">
        <f>=HYPERLINK("https://leilaoonline.net/lote/detalhe/214445", "REBOQUE RANDON SP RQ CA; ANO 2010/2010; AZUL. - FR96769. - LOC. JUNQUEIRA")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=HYPERLINK("https://leilaoonline.net/lote/detalhe/214446", "31798")</f>
      </c>
      <c r="B56" s="4" t="s">
        <f>=HYPERLINK("https://leilaoonline.net/lote/detalhe/214446", "CARRETA DISTRIBUIDORA DE TORTA SPANDER; ANO 2015. - FR189004. - LOC. GASA")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=HYPERLINK("https://leilaoonline.net/lote/detalhe/214412", "31811")</f>
      </c>
      <c r="B57" s="4" t="s">
        <f>=HYPERLINK("https://leilaoonline.net/lote/detalhe/214412", "03 DESENLEIRADORES. - FR103095/ FR103096/ FR103094. - LOC.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=HYPERLINK("https://leilaoonline.net/lote/detalhe/214411", "31815")</f>
      </c>
      <c r="B58" s="4" t="s">
        <f>=HYPERLINK("https://leilaoonline.net/lote/detalhe/214411", "02 ESTEIRAS DE 1,00X1,50; 02 DETECTORES DE METAL; 01 QUEBRA TORRÃO DE AÇUCAR; 01 ESTEIRA CURVA 1,00X2,00 APROX. - FR202769. - LOC. BARRA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=HYPERLINK("https://leilaoonline.net/lote/detalhe/214914", "31819")</f>
      </c>
      <c r="B59" s="4" t="s">
        <f>=HYPERLINK("https://leilaoonline.net/lote/detalhe/214914", "APROX. 120 UNIDADES DE PALETES DE MADEIRA. (LANCE POR UNIDADE) - S/FR. - LOC. SANTA CÂNDIDA")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168,00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=HYPERLINK("https://leilaoonline.net/lote/detalhe/214409", "31831")</f>
      </c>
      <c r="B60" s="4" t="s">
        <f>=HYPERLINK("https://leilaoonline.net/lote/detalhe/214409", "TRATOR CORTADOR DE GRAMA JOHN DEERE D170; ANO 2015. - FR19629. - LOC. SANTA CÂNDIDA")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=HYPERLINK("https://leilaoonline.net/lote/detalhe/214415", "31851")</f>
      </c>
      <c r="B61" s="4" t="s">
        <f>=HYPERLINK("https://leilaoonline.net/lote/detalhe/214415", "SUBSOLADOR; ANO 2013. - FR17208.- LOC. SERRA")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=HYPERLINK("https://leilaoonline.net/lote/detalhe/214419", "31853")</f>
      </c>
      <c r="B62" s="4" t="s">
        <f>=HYPERLINK("https://leilaoonline.net/lote/detalhe/214419", "ELIMINADOR MECÂNICO DE SOQUEIRAS DMB; ANO 2006. - FR103871. - LOC. SERRA")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=HYPERLINK("https://leilaoonline.net/lote/detalhe/214422", "31891")</f>
      </c>
      <c r="B63" s="4" t="s">
        <f>=HYPERLINK("https://leilaoonline.net/lote/detalhe/214422", "1 TALHA 3F 24VCA NERM032SD-SD 3; 2TO 8M FABR. KING TA; FR200273 / 1 TALHA ELETRICA CAPAC. 3 TON. MOD. ER2032; FR200269. - LOC.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=HYPERLINK("https://leilaoonline.net/lote/detalhe/214448", "31911")</f>
      </c>
      <c r="B64" s="4" t="s">
        <f>=HYPERLINK("https://leilaoonline.net/lote/detalhe/214448", "PLANTADORA DE CANA DMB PCP 6000; ANO 2012. - FR112340. - LOC. MUNDIAL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=HYPERLINK("https://leilaoonline.net/lote/detalhe/214447", "31919")</f>
      </c>
      <c r="B65" s="4" t="s">
        <f>=HYPERLINK("https://leilaoonline.net/lote/detalhe/214447", "CARRETA DISTRIBUIDORA TORTA SOLLUS SPANDER; ANO 2012. - FR173563. - LOC. BENALCOOL")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=HYPERLINK("https://leilaoonline.net/lote/detalhe/214425", "31939")</f>
      </c>
      <c r="B66" s="4" t="s">
        <f>=HYPERLINK("https://leilaoonline.net/lote/detalhe/214425", "4 ESTEIRAS COM DETECTORES DE METAL; 4 ENFARDADEIRAS E 4 EMPACOTADEIRAS. - PT: 293335 / PT: 293337 / PT: 292887/ PT_ 0003/ Tag: 034-0004/ PT: 293177/ PT: 292880/ PT_0001/007891/ PT: 292868/ PT_0004/007887. - LOC. PASSATEMPO")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=HYPERLINK("https://leilaoonline.net/lote/detalhe/214427", "31943")</f>
      </c>
      <c r="B67" s="4" t="s">
        <f>=HYPERLINK("https://leilaoonline.net/lote/detalhe/214427", "PLANTADORA DMB; ANO 2013. - FR9003138. - LOC. RIO BRILHANTE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=HYPERLINK("https://leilaoonline.net/lote/detalhe/214426", "31948")</f>
      </c>
      <c r="B68" s="4" t="s">
        <f>=HYPERLINK("https://leilaoonline.net/lote/detalhe/214426", "CAMINHÃO MERCEDES BENZ AXOR 3344S 6X4; ANO 2016/2017; BRANCO. - FR4415053. - LOC. CAARAPÓ ")</f>
      </c>
      <c r="C68" s="4" t="inlineStr">
        <is>
          <t>Vendido</t>
        </is>
      </c>
      <c r="D68" s="4" t="inlineStr">
        <is>
          <t>42</t>
        </is>
      </c>
      <c r="E68" s="5" t="inlineStr">
        <is>
          <t>103.000,00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=HYPERLINK("https://leilaoonline.net/lote/detalhe/214470", "31964")</f>
      </c>
      <c r="B69" s="4" t="s">
        <f>=HYPERLINK("https://leilaoonline.net/lote/detalhe/214470", "SEMI REBOQUE TRUCK GALEGO SR; ANO 2004/2004; AZUL. - FR10004096. - LOC. CONTINENTAL")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=HYPERLINK("https://leilaoonline.net/lote/detalhe/215301", "31979")</f>
      </c>
      <c r="B70" s="4" t="s">
        <f>=HYPERLINK("https://leilaoonline.net/lote/detalhe/215301", "CAMINHÃO MERCEDES BENZ L 2213; ANO 1981/1981; BRANCO. (CARROCERIA TANQUE) - FR119263. - LOC. BONFIM - (VENDA SOMENTE PARA COMPRADORES DO ESTADO DE SÃO PAULO)")</f>
      </c>
      <c r="C70" s="4" t="inlineStr">
        <is>
          <t>Vendido</t>
        </is>
      </c>
      <c r="D70" s="4" t="inlineStr">
        <is>
          <t>11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=HYPERLINK("https://leilaoonline.net/lote/detalhe/214496", "32029")</f>
      </c>
      <c r="B71" s="4" t="s">
        <f>=HYPERLINK("https://leilaoonline.net/lote/detalhe/214496", "TRATOR VALTRA BM 125; ANO 2008. - FR163422. - LOC. ARARAQUARA ")</f>
      </c>
      <c r="C71" s="4" t="inlineStr">
        <is>
          <t>Vendido</t>
        </is>
      </c>
      <c r="D71" s="4" t="inlineStr">
        <is>
          <t>56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=HYPERLINK("https://leilaoonline.net/lote/detalhe/214497", "32030")</f>
      </c>
      <c r="B72" s="4" t="s">
        <f>=HYPERLINK("https://leilaoonline.net/lote/detalhe/214497", "TRATOR VALTRA BM 125; ANO 2008. - FR163428. - LOC. ARARAQUARA ")</f>
      </c>
      <c r="C72" s="4" t="inlineStr">
        <is>
          <t>Não vendido</t>
        </is>
      </c>
      <c r="D72" s="4" t="inlineStr">
        <is>
          <t>80</t>
        </is>
      </c>
      <c r="E72" s="5" t="inlineStr">
        <is>
          <t>89.000,00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=HYPERLINK("https://leilaoonline.net/lote/detalhe/214451", "32045")</f>
      </c>
      <c r="B73" s="4" t="s">
        <f>=HYPERLINK("https://leilaoonline.net/lote/detalhe/214451", "APROX. 100 PEÇAS DIVERSAS DE EQUIPAMENTOS AGRÍCOLAS; VEJA DESCRITIVO DE ITENS. - S/FR. - LOC. CAARAPÓ")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=HYPERLINK("https://leilaoonline.net/lote/detalhe/214453", "32047")</f>
      </c>
      <c r="B74" s="4" t="s">
        <f>=HYPERLINK("https://leilaoonline.net/lote/detalhe/214453", "APROX. 97.399 FRASCOS PLÁSTICOS DE 500 ML VAZIOS. (VEJA ESPECIFICAÇÕES ABAIXO) - S/FR. - LOC. BOM RETIRO")</f>
      </c>
      <c r="C74" s="4" t="inlineStr">
        <is>
          <t>Não vendido</t>
        </is>
      </c>
      <c r="D74" s="4" t="inlineStr">
        <is>
          <t>63</t>
        </is>
      </c>
      <c r="E74" s="5" t="inlineStr">
        <is>
          <t>14.450,00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=HYPERLINK("https://leilaoonline.net/lote/detalhe/214455", "32051")</f>
      </c>
      <c r="B75" s="4" t="s">
        <f>=HYPERLINK("https://leilaoonline.net/lote/detalhe/214455", "HIDROROLL METALMAG; ANO 2008. (ROLÃO DE VINHAÇA) - FR48182. - LOC. IPAUSSU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=HYPERLINK("https://leilaoonline.net/lote/detalhe/215910", "32054")</f>
      </c>
      <c r="B76" s="4" t="s">
        <f>=HYPERLINK("https://leilaoonline.net/lote/detalhe/215910", "TRANSBORDO TESTON PT22000 22T; ANO 2017. - FR4445279. - LOC. RIO BRILHANTE")</f>
      </c>
      <c r="C76" s="4" t="inlineStr">
        <is>
          <t>Não vendido</t>
        </is>
      </c>
      <c r="D76" s="4" t="inlineStr">
        <is>
          <t>75</t>
        </is>
      </c>
      <c r="E76" s="5" t="inlineStr">
        <is>
          <t>99.000,00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=HYPERLINK("https://leilaoonline.net/lote/detalhe/214492", "32072")</f>
      </c>
      <c r="B77" s="4" t="s">
        <f>=HYPERLINK("https://leilaoonline.net/lote/detalhe/214492", "1 ESTEIRA DE BORRACHA APROX. 15M; 2 ESTEIRAS DE BORRACHA. - FR334668/FR335483. (APROX. 10M) 1 ESTEIRA DE BORRACHA. - FR164489 (APROX. 5M) - LOC. MARACAÍ")</f>
      </c>
      <c r="C77" s="4" t="inlineStr">
        <is>
          <t>Vendido</t>
        </is>
      </c>
      <c r="D77" s="4" t="inlineStr">
        <is>
          <t>28</t>
        </is>
      </c>
      <c r="E77" s="5" t="inlineStr">
        <is>
          <t>14.000,00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=HYPERLINK("https://leilaoonline.net/lote/detalhe/214493", "32074")</f>
      </c>
      <c r="B78" s="4" t="s">
        <f>=HYPERLINK("https://leilaoonline.net/lote/detalhe/214493", "GM/ S10 24 RONTAN AMB, ANO 2008/2009, BRANCA - FR5006022 - LOC. RIO BRILHANTE")</f>
      </c>
      <c r="C78" s="4" t="inlineStr">
        <is>
          <t>Não vendido</t>
        </is>
      </c>
      <c r="D78" s="4" t="inlineStr">
        <is>
          <t>11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=HYPERLINK("https://leilaoonline.net/lote/detalhe/214494", "32081")</f>
      </c>
      <c r="B79" s="4" t="s">
        <f>=HYPERLINK("https://leilaoonline.net/lote/detalhe/214494", "BOCA / PÁ DE TRATOR. - S/FR. - LOC - BIOMASSA DIAMANTE JAU")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=HYPERLINK("https://leilaoonline.net/lote/detalhe/215246", "32082")</f>
      </c>
      <c r="B80" s="4" t="s">
        <f>=HYPERLINK("https://leilaoonline.net/lote/detalhe/215246", "TRATOR MASSEY FERGUSON MF 283 4X4; ANO 2006. - FR115101. - LOC. BONFIM")</f>
      </c>
      <c r="C80" s="4" t="inlineStr">
        <is>
          <t>Vendido</t>
        </is>
      </c>
      <c r="D80" s="4" t="inlineStr">
        <is>
          <t>39</t>
        </is>
      </c>
      <c r="E80" s="5" t="inlineStr">
        <is>
          <t>58.000,00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=HYPERLINK("https://leilaoonline.net/lote/detalhe/215248", "32083")</f>
      </c>
      <c r="B81" s="4" t="s">
        <f>=HYPERLINK("https://leilaoonline.net/lote/detalhe/215248", "TRATOR VALTRA BM100; ANO 2012. - FR19079. - LOC. SANTA CÂNDIDA")</f>
      </c>
      <c r="C81" s="4" t="inlineStr">
        <is>
          <t>Vendido</t>
        </is>
      </c>
      <c r="D81" s="4" t="inlineStr">
        <is>
          <t>67</t>
        </is>
      </c>
      <c r="E81" s="5" t="inlineStr">
        <is>
          <t>101.000,00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=HYPERLINK("https://leilaoonline.net/lote/detalhe/215249", "32084")</f>
      </c>
      <c r="B82" s="4" t="s">
        <f>=HYPERLINK("https://leilaoonline.net/lote/detalhe/215249", "TRATOR CASE MX 260 MAGNUM 4X4; ANO 2017. - FR20373. - LOC. SANTA CÂNDIDA")</f>
      </c>
      <c r="C82" s="4" t="inlineStr">
        <is>
          <t>Não vendido</t>
        </is>
      </c>
      <c r="D82" s="4" t="inlineStr">
        <is>
          <t>76</t>
        </is>
      </c>
      <c r="E82" s="5" t="inlineStr">
        <is>
          <t>173.000,00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=HYPERLINK("https://leilaoonline.net/lote/detalhe/215250", "32085")</f>
      </c>
      <c r="B83" s="4" t="s">
        <f>=HYPERLINK("https://leilaoonline.net/lote/detalhe/215250", "CHEVROLET S10 LS DD4; ANO 2012/2013; BRANCO. - FR95203. - LOC. BARRA BONITA")</f>
      </c>
      <c r="C83" s="4" t="inlineStr">
        <is>
          <t>Vendido</t>
        </is>
      </c>
      <c r="D83" s="4" t="inlineStr">
        <is>
          <t>30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=HYPERLINK("https://leilaoonline.net/lote/detalhe/215285", "32086")</f>
      </c>
      <c r="B84" s="4" t="s">
        <f>=HYPERLINK("https://leilaoonline.net/lote/detalhe/215285", "REBOQUE. - FR52483. (SERÁ VENDIDO SEM DIREITO A DOCUMENTAÇÃO) - LOC. BONFIM")</f>
      </c>
      <c r="C84" s="4" t="inlineStr">
        <is>
          <t>Vendido</t>
        </is>
      </c>
      <c r="D84" s="4" t="inlineStr">
        <is>
          <t>6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=HYPERLINK("https://leilaoonline.net/lote/detalhe/215284", "32088")</f>
      </c>
      <c r="B85" s="4" t="s">
        <f>=HYPERLINK("https://leilaoonline.net/lote/detalhe/215284", " 2 COLHEDORAS CASE 8800; ANO 2010. - FR32223/FR139506. - LOC. BONFIM")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=HYPERLINK("https://leilaoonline.net/lote/detalhe/215900", "32089")</f>
      </c>
      <c r="B86" s="4" t="s">
        <f>=HYPERLINK("https://leilaoonline.net/lote/detalhe/215900", "3 SILOS NAS MEDIDAS: Nº 1 CAP. 193M³ MED. 0,80X6,35X12M (SAI-LP-0009) - Nº 2 CAP. 203M³ MED. 0,80X5,46X12,74M - (SAI-LP-0010) - Nº 3 CAP. 193M³ MED. 0,80X6,35X12M (SAI-LP-0011) UMA TORRE ELEVADORA - LOC. LAGOA DA PRATA")</f>
      </c>
      <c r="C86" s="4" t="inlineStr">
        <is>
          <t>Não vendido</t>
        </is>
      </c>
      <c r="D86" s="4" t="inlineStr">
        <is>
          <t>60</t>
        </is>
      </c>
      <c r="E86" s="5" t="inlineStr">
        <is>
          <t>123.000,00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=HYPERLINK("https://leilaoonline.net/lote/detalhe/215997", "32090")</f>
      </c>
      <c r="B87" s="4" t="s">
        <f>=HYPERLINK("https://leilaoonline.net/lote/detalhe/215997", " 6 ESTEIRAS INDUSTRIAIS. - S/FR. - LOC. TARUMÃ")</f>
      </c>
      <c r="C87" s="4" t="inlineStr">
        <is>
          <t>Vendido</t>
        </is>
      </c>
      <c r="D87" s="4" t="inlineStr">
        <is>
          <t>73</t>
        </is>
      </c>
      <c r="E87" s="5" t="inlineStr">
        <is>
          <t>16.600,00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=HYPERLINK("https://leilaoonline.net/lote/detalhe/216000", "32091")</f>
      </c>
      <c r="B88" s="4" t="s">
        <f>=HYPERLINK("https://leilaoonline.net/lote/detalhe/216000", " APROX. 15 TON. DE TUBOS DE EVAPORAÇÃO EM AÇO CARBONO. (APROX. 4,80M) - S/FR. (LANCE POR QUILO) - LOC. MARACAÍ")</f>
      </c>
      <c r="C88" s="4" t="inlineStr">
        <is>
          <t>Vendido</t>
        </is>
      </c>
      <c r="D88" s="4" t="inlineStr">
        <is>
          <t>21</t>
        </is>
      </c>
      <c r="E88" s="5" t="inlineStr">
        <is>
          <t>45.000,00</t>
        </is>
      </c>
      <c r="F88" s="4" t="inlineStr">
        <is>
          <t>0.10</t>
        </is>
      </c>
    </row>
    <row collapsed="false" customFormat="false" customHeight="false" hidden="false" ht="12.1" outlineLevel="0" r="89">
      <c r="A89" s="5" t="s">
        <f>=HYPERLINK("https://leilaoonline.net/lote/detalhe/216084", "32092")</f>
      </c>
      <c r="B89" s="4" t="s">
        <f>=HYPERLINK("https://leilaoonline.net/lote/detalhe/216084", "SUCATA DE TRATOR JOHN DEERE 7185J. - FR102971. - LOC. IPAUSSU")</f>
      </c>
      <c r="C89" s="4" t="inlineStr">
        <is>
          <t>Vendido</t>
        </is>
      </c>
      <c r="D89" s="4" t="inlineStr">
        <is>
          <t>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=HYPERLINK("https://leilaoonline.net/lote/detalhe/215998", "32093")</f>
      </c>
      <c r="B90" s="4" t="s">
        <f>=HYPERLINK("https://leilaoonline.net/lote/detalhe/215998", " APROX. 10 TON. DE TUBOS DE EVAPORAÇÃO EM AÇO INOX. (APROX. 2,80M) - S/FR. (LANCE POR QUILO) - LOC. MARACAÍ")</f>
      </c>
      <c r="C90" s="4" t="inlineStr">
        <is>
          <t>Vendido</t>
        </is>
      </c>
      <c r="D90" s="4" t="inlineStr">
        <is>
          <t>10</t>
        </is>
      </c>
      <c r="E90" s="5" t="inlineStr">
        <is>
          <t>36.000,00</t>
        </is>
      </c>
      <c r="F90" s="4" t="inlineStr">
        <is>
          <t>0.10</t>
        </is>
      </c>
    </row>
    <row collapsed="false" customFormat="false" customHeight="false" hidden="false" ht="12.1" outlineLevel="0" r="91">
      <c r="A91" s="5" t="s">
        <f>=HYPERLINK("https://leilaoonline.net/lote/detalhe/215999", "32094")</f>
      </c>
      <c r="B91" s="4" t="s">
        <f>=HYPERLINK("https://leilaoonline.net/lote/detalhe/215999", " DESENVERNIZADEIRA. - S/FR. - LOC. MARACAÍ")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=HYPERLINK("https://leilaoonline.net/lote/detalhe/215909", "32100")</f>
      </c>
      <c r="B92" s="4" t="s">
        <f>=HYPERLINK("https://leilaoonline.net/lote/detalhe/215909", "APROX. 5 TON. DE TUBOS DE ALUMÍNIO; ABRAÇADEIRAS/ANÉIS. (LANCE POR QUILO) - S/FR. - LOC. PARAÍSO ")</f>
      </c>
      <c r="C92" s="4" t="inlineStr">
        <is>
          <t>Vendido</t>
        </is>
      </c>
      <c r="D92" s="4" t="inlineStr">
        <is>
          <t>66</t>
        </is>
      </c>
      <c r="E92" s="5" t="inlineStr">
        <is>
          <t>41.000,00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=HYPERLINK("https://leilaoonline.net/lote/detalhe/216087", "32101")</f>
      </c>
      <c r="B93" s="4" t="s">
        <f>=HYPERLINK("https://leilaoonline.net/lote/detalhe/216087", "APROX. 25 TON. DE 4 TROCADORES DE CALOR; MATERIAL MISTO. (VENDA POR QUILO) - (NECESSÁRIO LICENÇAS PARA EMISSÃO DE MTR NO ESTADO DE SÃO PAULO) - LOC. SÃO FRANCISCO")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67.500,00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=HYPERLINK("https://leilaoonline.net/lote/detalhe/216645", "32102")</f>
      </c>
      <c r="B94" s="4" t="s">
        <f>=HYPERLINK("https://leilaoonline.net/lote/detalhe/216645", "1 VOLANDEIRA COM EIXO; 1 VOLANDEIRA SEM EIXO. - S/FR. - LOC. TARUMÃ")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=HYPERLINK("https://leilaoonline.net/lote/detalhe/214500", "32502")</f>
      </c>
      <c r="B95" s="4" t="s">
        <f>=HYPERLINK("https://leilaoonline.net/lote/detalhe/214500", "REBOQUE RANDONSP RQ CA; ANO 2010/2011; AZUL. - FR121481. - LOC. BONFIM")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=HYPERLINK("https://leilaoonline.net/lote/detalhe/214456", "32535")</f>
      </c>
      <c r="B96" s="4" t="s">
        <f>=HYPERLINK("https://leilaoonline.net/lote/detalhe/214456", "CAMINHÃO VOLKSWAGEN 26.220 EURO3 WORKER; ANO 2007/2008; BRANCO. - FR360140. - LOC. ZANIN - (VENDA SOMENTE PARA COMPRADORES DO ESTADO DE SÃO PAULO)")</f>
      </c>
      <c r="C96" s="4" t="inlineStr">
        <is>
          <t>Não vendido</t>
        </is>
      </c>
      <c r="D96" s="4" t="inlineStr">
        <is>
          <t>69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=HYPERLINK("https://leilaoonline.net/lote/detalhe/214499", "32545")</f>
      </c>
      <c r="B97" s="4" t="s">
        <f>=HYPERLINK("https://leilaoonline.net/lote/detalhe/214499", "CAMINHÃO MERCEDES BENZ L 2219; ANO 1987/1987; BRANCO. (CARROCERIA BASCULANTE) - FR119689. - LOC. SERRA - (VENDA SOMENTE PARA COMPRADORES DO ESTADO DE SÃO PAULO)")</f>
      </c>
      <c r="C97" s="4" t="inlineStr">
        <is>
          <t>Lote retirado</t>
        </is>
      </c>
      <c r="D97" s="4" t="inlineStr">
        <is>
          <t>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=HYPERLINK("https://leilaoonline.net/lote/detalhe/214479", "32567")</f>
      </c>
      <c r="B98" s="4" t="s">
        <f>=HYPERLINK("https://leilaoonline.net/lote/detalhe/214479", "DESINLEIRADOR/ ENLEIRADOR NEW HOLLAND H5980; VERMELHO. - FR1101. - LOC. BIOMASSA")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=HYPERLINK("https://leilaoonline.net/lote/detalhe/214475", "32568")</f>
      </c>
      <c r="B99" s="4" t="s">
        <f>=HYPERLINK("https://leilaoonline.net/lote/detalhe/214475", "DESINLEIRADOR/ ENLEIRADOR NEW HOLLAND; AMARELO; ANO 2018. - FR7011590. - LOC. BIOMASSA")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=HYPERLINK("https://leilaoonline.net/lote/detalhe/214474", "32576")</f>
      </c>
      <c r="B100" s="4" t="s">
        <f>=HYPERLINK("https://leilaoonline.net/lote/detalhe/214474", "CARRETA SERVIÇOS DIVERSOS; ANO 2008. - FR71024. - LOC. DIAMANTE")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=HYPERLINK("https://leilaoonline.net/lote/detalhe/214472", "32577")</f>
      </c>
      <c r="B101" s="4" t="s">
        <f>=HYPERLINK("https://leilaoonline.net/lote/detalhe/214472", "FILTRO PRENSA. - PT.248077. - LOC. DIAMANTE 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=HYPERLINK("https://leilaoonline.net/lote/detalhe/214477", "32578")</f>
      </c>
      <c r="B102" s="4" t="s">
        <f>=HYPERLINK("https://leilaoonline.net/lote/detalhe/214477", "CENTRIFUGA CONTI. - PT.093406. - LOC. DIAMANTE")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=HYPERLINK("https://leilaoonline.net/lote/detalhe/214476", "32579")</f>
      </c>
      <c r="B103" s="4" t="s">
        <f>=HYPERLINK("https://leilaoonline.net/lote/detalhe/214476", "COLUNA CONTENDO 5 GOMOS. - S/FR. - LOC. DIAMANTE")</f>
      </c>
      <c r="C103" s="4" t="inlineStr">
        <is>
          <t>Vendido</t>
        </is>
      </c>
      <c r="D103" s="4" t="inlineStr">
        <is>
          <t>70</t>
        </is>
      </c>
      <c r="E103" s="5" t="inlineStr">
        <is>
          <t>27.400,00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=HYPERLINK("https://leilaoonline.net/lote/detalhe/215304", "32585")</f>
      </c>
      <c r="B104" s="4" t="s">
        <f>=HYPERLINK("https://leilaoonline.net/lote/detalhe/215304", "2 VÁLVULAS GAVETA 16" - 4 MOTORES ME 141 WEG - 4 FILTROS SECOS - 1 FILTRO SEPARADOR  (1 BOMBA HERO) - S/FR. - LOC. PAULÍNIA")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=HYPERLINK("https://leilaoonline.net/lote/detalhe/214936", "32586")</f>
      </c>
      <c r="B105" s="4" t="s">
        <f>=HYPERLINK("https://leilaoonline.net/lote/detalhe/214936", " TRANSBORDO CIVEMASSA TAC 10500; ANO 2010. - FR4445133. - LOC. PASSATEMPO")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=HYPERLINK("https://leilaoonline.net/lote/detalhe/214962", "32587")</f>
      </c>
      <c r="B106" s="4" t="s">
        <f>=HYPERLINK("https://leilaoonline.net/lote/detalhe/214962", " TRANSBORDO CIVEMASSA TAC 10500; ANO 2010. - FR4445128. - LOC. PASSATEMPO")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=HYPERLINK("https://leilaoonline.net/lote/detalhe/214947", "32588")</f>
      </c>
      <c r="B107" s="4" t="s">
        <f>=HYPERLINK("https://leilaoonline.net/lote/detalhe/214947", " TRANSBORDO CIVEMASSA TAC 10500; ANO 2010. - FR4445127. - LOC. PASSATEMPO")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=HYPERLINK("https://leilaoonline.net/lote/detalhe/214959", "32589")</f>
      </c>
      <c r="B108" s="4" t="s">
        <f>=HYPERLINK("https://leilaoonline.net/lote/detalhe/214959", " TRANSBORDO CIVEMASSA TAC 10500; ANO 2009. - FR4445073. - LOC. PASSATEMPO")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=HYPERLINK("https://leilaoonline.net/lote/detalhe/214932", "32590")</f>
      </c>
      <c r="B109" s="4" t="s">
        <f>=HYPERLINK("https://leilaoonline.net/lote/detalhe/214932", " TRANSBORDO CIVEMASSA TAC 10500; ANO 2009. - FR4445071. - LOC. PASSATEMPO")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=HYPERLINK("https://leilaoonline.net/lote/detalhe/214948", "32591")</f>
      </c>
      <c r="B110" s="4" t="s">
        <f>=HYPERLINK("https://leilaoonline.net/lote/detalhe/214948", "SEMI REBOQUE RANDON SR CA; ANO 2006/2007; VERDE. -  FR3628 - LOC. PASSATEMPO")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=HYPERLINK("https://leilaoonline.net/lote/detalhe/214933", "32592")</f>
      </c>
      <c r="B111" s="4" t="s">
        <f>=HYPERLINK("https://leilaoonline.net/lote/detalhe/214933", "SEMI REBOQUE RANDON SRCA CA; ANO 2007/2007; AZUL. - FR4690. - LOC. PASSATEMPO")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=HYPERLINK("https://leilaoonline.net/lote/detalhe/214949", "32593")</f>
      </c>
      <c r="B112" s="4" t="s">
        <f>=HYPERLINK("https://leilaoonline.net/lote/detalhe/214949", " SEMI REBOQUE RANDON SR CP HI; ANO 2007/2007; AZUL. - FR64907 - LOC. PASSATEMPO")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=HYPERLINK("https://leilaoonline.net/lote/detalhe/214931", "32594")</f>
      </c>
      <c r="B113" s="4" t="s">
        <f>=HYPERLINK("https://leilaoonline.net/lote/detalhe/214931", " SEMI REBOQUE RANDON SR CP HI; ANO 2007/2007; AZUL. - FR4691 - LOC. PASSATEMPO")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=HYPERLINK("https://leilaoonline.net/lote/detalhe/214942", "32595")</f>
      </c>
      <c r="B114" s="4" t="s">
        <f>=HYPERLINK("https://leilaoonline.net/lote/detalhe/214942", " SEMI REBOQUE RANDON SRCA CA; ANO 2007/2007; AZUL. - FR4693. - LOC. PASSATEMPO")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=HYPERLINK("https://leilaoonline.net/lote/detalhe/214934", "32596")</f>
      </c>
      <c r="B115" s="4" t="s">
        <f>=HYPERLINK("https://leilaoonline.net/lote/detalhe/214934", " SEMI REBOQUE RANDON SRCA CA; ANO 2007/2007; AZUL. - FR64914. - LOC. PASSATEMPO")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=HYPERLINK("https://leilaoonline.net/lote/detalhe/214945", "32597")</f>
      </c>
      <c r="B116" s="4" t="s">
        <f>=HYPERLINK("https://leilaoonline.net/lote/detalhe/214945", " SEMI REBOQUE RANDON SRCA CA; ANO 2007/2007; AZUL. - FR64901. - LOC. PASSATEMPO")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=HYPERLINK("https://leilaoonline.net/lote/detalhe/214951", "32599")</f>
      </c>
      <c r="B117" s="4" t="s">
        <f>=HYPERLINK("https://leilaoonline.net/lote/detalhe/214951", " SUCATA DE CAÇAMBA FACCHINNI; ANO 2015. - FR5804014. - LOC. PASSATEMPO (VENDA SEM DOCUMENTO)")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=HYPERLINK("https://leilaoonline.net/lote/detalhe/214423", "32604")</f>
      </c>
      <c r="B118" s="4" t="s">
        <f>=HYPERLINK("https://leilaoonline.net/lote/detalhe/214423", "ENXADA ROTATIVA HOWARD; ANO 2014. - FR48159. - LOC. IPAUSSU")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=HYPERLINK("https://leilaoonline.net/lote/detalhe/214449", "32608")</f>
      </c>
      <c r="B119" s="4" t="s">
        <f>=HYPERLINK("https://leilaoonline.net/lote/detalhe/214449", "ÁREA DE VIVÊNCIA PEQUENA; ANO 2012; BRANCA. - FR14004626. - LOC. SANTA ELISA ")</f>
      </c>
      <c r="C119" s="4" t="inlineStr">
        <is>
          <t>Vendido</t>
        </is>
      </c>
      <c r="D119" s="4" t="inlineStr">
        <is>
          <t>26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=HYPERLINK("https://leilaoonline.net/lote/detalhe/214502", "32644")</f>
      </c>
      <c r="B120" s="4" t="s">
        <f>=HYPERLINK("https://leilaoonline.net/lote/detalhe/214502", "SUCATA DE CAMINHÃO MERCEDES BENZ AXOR 2423K. - FR7011346. - LOC. LEME")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=HYPERLINK("https://leilaoonline.net/lote/detalhe/214495", "32706")</f>
      </c>
      <c r="B121" s="4" t="s">
        <f>=HYPERLINK("https://leilaoonline.net/lote/detalhe/214495", "REBOQUE RODOVIARIA RQ CI PR; ANO 1993/1993; AZUL. -  FR84997/ FR91140. - LOC. BOM RETIRO  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=HYPERLINK("https://leilaoonline.net/lote/detalhe/214420", "32727")</f>
      </c>
      <c r="B122" s="4" t="s">
        <f>=HYPERLINK("https://leilaoonline.net/lote/detalhe/214420", "TRANSFORMADOR TORRAN UNIÃO. - FR266370. - LOC. RAFARD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=HYPERLINK("https://leilaoonline.net/lote/detalhe/214457", "32764")</f>
      </c>
      <c r="B123" s="4" t="s">
        <f>=HYPERLINK("https://leilaoonline.net/lote/detalhe/214457", "COLHEDORA DE CANA JHON DEERE 3510; ANO 2008. - FR101438. - LOC. GASA")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=HYPERLINK("https://leilaoonline.net/lote/detalhe/214461", "32765")</f>
      </c>
      <c r="B124" s="4" t="s">
        <f>=HYPERLINK("https://leilaoonline.net/lote/detalhe/214461", "COLHEDORA DE CANA JHON DEERE; ANO 2008. - FR62213. - LOC. GASA")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=HYPERLINK("https://leilaoonline.net/lote/detalhe/214463", "32772")</f>
      </c>
      <c r="B125" s="4" t="s">
        <f>=HYPERLINK("https://leilaoonline.net/lote/detalhe/214463", "PLANTADORA; ANO 2014. - FR140010. - LOC. MUNDIAL")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=HYPERLINK("https://leilaoonline.net/lote/detalhe/215303", "32789")</f>
      </c>
      <c r="B126" s="4" t="s">
        <f>=HYPERLINK("https://leilaoonline.net/lote/detalhe/215303", " CARRETA DISTRIBUIDORA DE TORTA; ANO 2006. - FR84868. - LOC. BENALCOOL")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=HYPERLINK("https://leilaoonline.net/lote/detalhe/214935", "32800")</f>
      </c>
      <c r="B127" s="4" t="s">
        <f>=HYPERLINK("https://leilaoonline.net/lote/detalhe/214935", " TRANSBORDO CIVEMASSA TAC 13000; ANO 2008. - FR9004075. - LOC. PASSATEMPO")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=HYPERLINK("https://leilaoonline.net/lote/detalhe/214952", "32801")</f>
      </c>
      <c r="B128" s="4" t="s">
        <f>=HYPERLINK("https://leilaoonline.net/lote/detalhe/214952", " 2 CONJUNTOS DE ESCADA E BRAÇO ARTICULADO PARA ABSTECIMENTO. - FR293878/FR292340/FR292802/FR292951/FR293420. - LOC. PASSATEMPO")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=HYPERLINK("https://leilaoonline.net/lote/detalhe/214946", "32802")</f>
      </c>
      <c r="B129" s="4" t="s">
        <f>=HYPERLINK("https://leilaoonline.net/lote/detalhe/214946", " TRANSBORDO CIVEMASSA TAC 13000; ANO 2006. - FR4004124. - LOC. PASSATEMPO")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=HYPERLINK("https://leilaoonline.net/lote/detalhe/214958", "32803")</f>
      </c>
      <c r="B130" s="4" t="s">
        <f>=HYPERLINK("https://leilaoonline.net/lote/detalhe/214958", " TRANSBORDO CIVEMASSA TAC 13000; ANO 2006. - FR4004104. - LOC. PASSATEMPO")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=HYPERLINK("https://leilaoonline.net/lote/detalhe/214950", "32804")</f>
      </c>
      <c r="B131" s="4" t="s">
        <f>=HYPERLINK("https://leilaoonline.net/lote/detalhe/214950", " TRANSBORDO CIVEMASSA TAC 13000; ANO 2008. - FR9004124. - LOC. PASSATEMPO")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=HYPERLINK("https://leilaoonline.net/lote/detalhe/214961", "32805")</f>
      </c>
      <c r="B132" s="4" t="s">
        <f>=HYPERLINK("https://leilaoonline.net/lote/detalhe/214961", " TRANSBORDO CIVEMASSA TAC 13000; ANO 2008. - FR9004045. - LOC. PASSATEMPO")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=HYPERLINK("https://leilaoonline.net/lote/detalhe/214955", "32806")</f>
      </c>
      <c r="B133" s="4" t="s">
        <f>=HYPERLINK("https://leilaoonline.net/lote/detalhe/214955", " TRANSBORDO CIVEMASSA TAC 13000; ANO 2008. - FR9004047. - LOC. PASSATEMPO")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=HYPERLINK("https://leilaoonline.net/lote/detalhe/214943", "32807")</f>
      </c>
      <c r="B134" s="4" t="s">
        <f>=HYPERLINK("https://leilaoonline.net/lote/detalhe/214943", " TRANSBORDO CIVEMASSA TAC 13000; ANO 2008. - FR9004046. - LOC. PASSATEMPO")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22.000,00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=HYPERLINK("https://leilaoonline.net/lote/detalhe/214964", "32808")</f>
      </c>
      <c r="B135" s="4" t="s">
        <f>=HYPERLINK("https://leilaoonline.net/lote/detalhe/214964", " TRANSBORDO CIVEMASSA TAC 13000; ANO 2008. - FR9004070. - LOC. PASSATEMPO")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=HYPERLINK("https://leilaoonline.net/lote/detalhe/214954", "32809")</f>
      </c>
      <c r="B136" s="4" t="s">
        <f>=HYPERLINK("https://leilaoonline.net/lote/detalhe/214954", " TRANSBORDO CIVEMASSA TAC 13000; ANO 2008. - FR9004091. - LOC. PASSATEMPO")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=HYPERLINK("https://leilaoonline.net/lote/detalhe/214938", "32810")</f>
      </c>
      <c r="B137" s="4" t="s">
        <f>=HYPERLINK("https://leilaoonline.net/lote/detalhe/214938", " CARROCERIA COMBOIO GASCOM. - H02509. - LOC. RIO BRILHANTE")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=HYPERLINK("https://leilaoonline.net/lote/detalhe/214965", "32811")</f>
      </c>
      <c r="B138" s="4" t="s">
        <f>=HYPERLINK("https://leilaoonline.net/lote/detalhe/214965", " CARROCERIA COMBOIO GASCOM. - FR83284. - LOC. RIO BRILHANTE")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39.000,00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=HYPERLINK("https://leilaoonline.net/lote/detalhe/214941", "32812")</f>
      </c>
      <c r="B139" s="4" t="s">
        <f>=HYPERLINK("https://leilaoonline.net/lote/detalhe/214941", " CARROCERIA COMBOIO GASCOM. - H02841. - LOC. RIO BRILHANTE")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=HYPERLINK("https://leilaoonline.net/lote/detalhe/214963", "32813")</f>
      </c>
      <c r="B140" s="4" t="s">
        <f>=HYPERLINK("https://leilaoonline.net/lote/detalhe/214963", " CARROCERIA COMBOIO GASCOM. - A320923. - LOC. RIO BRILHANTE")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=HYPERLINK("https://leilaoonline.net/lote/detalhe/214953", "32814")</f>
      </c>
      <c r="B141" s="4" t="s">
        <f>=HYPERLINK("https://leilaoonline.net/lote/detalhe/214953", " 10 ELEVADORES PARA COLHEDORA. - S/FR. - LOC. RIO BRILHANTE")</f>
      </c>
      <c r="C141" s="4" t="inlineStr">
        <is>
          <t>Não vendido</t>
        </is>
      </c>
      <c r="D141" s="4" t="inlineStr">
        <is>
          <t>24</t>
        </is>
      </c>
      <c r="E141" s="5" t="inlineStr">
        <is>
          <t>3.400,00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=HYPERLINK("https://leilaoonline.net/lote/detalhe/214960", "32816")</f>
      </c>
      <c r="B142" s="4" t="s">
        <f>=HYPERLINK("https://leilaoonline.net/lote/detalhe/214960", " REBOQUE ANTONINI; ANO 1994/1994; AZUL. - FR3161. - LOC. RIO BRILHANTE")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13.000,00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=HYPERLINK("https://leilaoonline.net/lote/detalhe/214957", "32817")</f>
      </c>
      <c r="B143" s="4" t="s">
        <f>=HYPERLINK("https://leilaoonline.net/lote/detalhe/214957", " APROX 13 TON. DE TUBOS DE EVAPORAÇÃO 1 POLEGADA E MEIA, 5 M DE COMPRIMENTO. - S/FR. - LOC. RIO BRILHANTE (LANCE POR KG)")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20.800,00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=HYPERLINK("https://leilaoonline.net/lote/detalhe/214969", "32818")</f>
      </c>
      <c r="B144" s="4" t="s">
        <f>=HYPERLINK("https://leilaoonline.net/lote/detalhe/214969", "SEMI REBOQUE RANDON SRCA CA; ANO 2007/2007; AZUL. (DOLLY SERÁ VENDIDO SEM DIREITO A DOCUMENTAÇÃO.) - FR3146/FR4451560. - LOC. RIO BRILHANTE")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=HYPERLINK("https://leilaoonline.net/lote/detalhe/214972", "32819")</f>
      </c>
      <c r="B145" s="4" t="s">
        <f>=HYPERLINK("https://leilaoonline.net/lote/detalhe/214972", " DOLLY USICAMP; ANO 2005. - FR4451525. (VENDA SEM DOC.) - LOC. RIO BRILHANTE")</f>
      </c>
      <c r="C145" s="4" t="inlineStr">
        <is>
          <t>Vendido</t>
        </is>
      </c>
      <c r="D145" s="4" t="inlineStr">
        <is>
          <t>32</t>
        </is>
      </c>
      <c r="E145" s="5" t="inlineStr">
        <is>
          <t>9.800,00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=HYPERLINK("https://leilaoonline.net/lote/detalhe/214967", "32821")</f>
      </c>
      <c r="B146" s="4" t="s">
        <f>=HYPERLINK("https://leilaoonline.net/lote/detalhe/214967", " TRANSBORDO CIVEMASSA TAC 10500; ANO 2011. - FR4445143. - LOC. RIO BRILHANTE")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23.000,00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=HYPERLINK("https://leilaoonline.net/lote/detalhe/214968", "32822")</f>
      </c>
      <c r="B147" s="4" t="s">
        <f>=HYPERLINK("https://leilaoonline.net/lote/detalhe/214968", " TRANSBORDO CIVEMASSA TAC 10500; ANO 2011. - FR4445150. - LOC. RIO BRILHANTE")</f>
      </c>
      <c r="C147" s="4" t="inlineStr">
        <is>
          <t>Vendido</t>
        </is>
      </c>
      <c r="D147" s="4" t="inlineStr">
        <is>
          <t>16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=HYPERLINK("https://leilaoonline.net/lote/detalhe/214970", "32823")</f>
      </c>
      <c r="B148" s="4" t="s">
        <f>=HYPERLINK("https://leilaoonline.net/lote/detalhe/214970", " TRATOR CASE PUMA 215 4X4; ANO 2017. (SUCATEADO) - FR9802285. - LOC. RIO BRILHANTE")</f>
      </c>
      <c r="C148" s="4" t="inlineStr">
        <is>
          <t>Vendido</t>
        </is>
      </c>
      <c r="D148" s="4" t="inlineStr">
        <is>
          <t>31</t>
        </is>
      </c>
      <c r="E148" s="5" t="inlineStr">
        <is>
          <t>61.000,00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=HYPERLINK("https://leilaoonline.net/lote/detalhe/214973", "32824")</f>
      </c>
      <c r="B149" s="4" t="s">
        <f>=HYPERLINK("https://leilaoonline.net/lote/detalhe/214973", " TRATOR CASE PUMA 215 4X4; ANO 2017. (SUCATEADO) - FR9802261. - LOC. RIO BRILHANTE")</f>
      </c>
      <c r="C149" s="4" t="inlineStr">
        <is>
          <t>Vendido</t>
        </is>
      </c>
      <c r="D149" s="4" t="inlineStr">
        <is>
          <t>23</t>
        </is>
      </c>
      <c r="E149" s="5" t="inlineStr">
        <is>
          <t>59.000,00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=HYPERLINK("https://leilaoonline.net/lote/detalhe/214976", "32825")</f>
      </c>
      <c r="B150" s="4" t="s">
        <f>=HYPERLINK("https://leilaoonline.net/lote/detalhe/214976", " APROX. 8 PNEUS COM RODAS. - S/FR. - LOC. RIO BRILHANTE")</f>
      </c>
      <c r="C150" s="4" t="inlineStr">
        <is>
          <t>Vendido</t>
        </is>
      </c>
      <c r="D150" s="4" t="inlineStr">
        <is>
          <t>73</t>
        </is>
      </c>
      <c r="E150" s="5" t="inlineStr">
        <is>
          <t>17.500,00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=HYPERLINK("https://leilaoonline.net/lote/detalhe/214971", "32826")</f>
      </c>
      <c r="B151" s="4" t="s">
        <f>=HYPERLINK("https://leilaoonline.net/lote/detalhe/214971", " UNIDADE DE CALIBRAÇÃO CAPAC. 5000L; ANO 2015. - FR192502. - LOC. CAARAPÓ")</f>
      </c>
      <c r="C151" s="4" t="inlineStr">
        <is>
          <t>Não vendido</t>
        </is>
      </c>
      <c r="D151" s="4" t="inlineStr">
        <is>
          <t>5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=HYPERLINK("https://leilaoonline.net/lote/detalhe/214975", "32827")</f>
      </c>
      <c r="B152" s="4" t="s">
        <f>=HYPERLINK("https://leilaoonline.net/lote/detalhe/214975", " CAMINHÃO MERCEDES BENZ AXOR 3344S 6X4; ANO 2017/2017; BRANCO. - FR4415077 - LOC. CAARAPÓ")</f>
      </c>
      <c r="C152" s="4" t="inlineStr">
        <is>
          <t>Vendido</t>
        </is>
      </c>
      <c r="D152" s="4" t="inlineStr">
        <is>
          <t>75</t>
        </is>
      </c>
      <c r="E152" s="5" t="inlineStr">
        <is>
          <t>129.000,00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=HYPERLINK("https://leilaoonline.net/lote/detalhe/214956", "32828")</f>
      </c>
      <c r="B153" s="4" t="s">
        <f>=HYPERLINK("https://leilaoonline.net/lote/detalhe/214956", " APROX. 4 MAQUINAS DE SOLDA. - FR270534/FR270537. - LOC. CAARAPÓ")</f>
      </c>
      <c r="C153" s="4" t="inlineStr">
        <is>
          <t>Vendido</t>
        </is>
      </c>
      <c r="D153" s="4" t="inlineStr">
        <is>
          <t>20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=HYPERLINK("https://leilaoonline.net/lote/detalhe/214940", "32829")</f>
      </c>
      <c r="B154" s="4" t="s">
        <f>=HYPERLINK("https://leilaoonline.net/lote/detalhe/214940", " APROX. 80 TUBOS DE FIBRA. (DIVERSAS MEDIDAS) - S/FR. - LOC. CAARAPÓ")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28.500,00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=HYPERLINK("https://leilaoonline.net/lote/detalhe/214966", "32830")</f>
      </c>
      <c r="B155" s="4" t="s">
        <f>=HYPERLINK("https://leilaoonline.net/lote/detalhe/214966", " APROX 8 TON. DE FIOS DE COBRE. - S/FR. - LOC. CAARAPÓ (LANCE POR KG)")</f>
      </c>
      <c r="C155" s="4" t="inlineStr">
        <is>
          <t>Vendido</t>
        </is>
      </c>
      <c r="D155" s="4" t="inlineStr">
        <is>
          <t>110</t>
        </is>
      </c>
      <c r="E155" s="5" t="inlineStr">
        <is>
          <t>176.480,00</t>
        </is>
      </c>
      <c r="F155" s="4" t="inlineStr">
        <is>
          <t>0.20</t>
        </is>
      </c>
    </row>
    <row collapsed="false" customFormat="false" customHeight="false" hidden="false" ht="12.1" outlineLevel="0" r="156">
      <c r="A156" s="5" t="s">
        <f>=HYPERLINK("https://leilaoonline.net/lote/detalhe/215983", "32848")</f>
      </c>
      <c r="B156" s="4" t="s">
        <f>=HYPERLINK("https://leilaoonline.net/lote/detalhe/215983", " COLHEDORA JOHN DEERE 3510. - FR101432. -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=HYPERLINK("https://leilaoonline.net/lote/detalhe/215980", "32852")</f>
      </c>
      <c r="B157" s="4" t="s">
        <f>=HYPERLINK("https://leilaoonline.net/lote/detalhe/215980", " COLHEDORA JOHN DEERE 3522. - FR188002.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=HYPERLINK("https://leilaoonline.net/lote/detalhe/215981", "32853")</f>
      </c>
      <c r="B158" s="4" t="s">
        <f>=HYPERLINK("https://leilaoonline.net/lote/detalhe/215981", " REBOQUE RANDONSP CA; ANO 2012/2013; CINZA. - FR112531. - LOC. GASA")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=HYPERLINK("https://leilaoonline.net/lote/detalhe/215988", "32854")</f>
      </c>
      <c r="B159" s="4" t="s">
        <f>=HYPERLINK("https://leilaoonline.net/lote/detalhe/215988", " MOTO BOMBA. - FR86953. - LOC. GASA")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=HYPERLINK("https://leilaoonline.net/lote/detalhe/215991", "32855")</f>
      </c>
      <c r="B160" s="4" t="s">
        <f>=HYPERLINK("https://leilaoonline.net/lote/detalhe/215991", " DOLLY. S/FR. (VENDA SEM DIREITO A DOCUMENTAÇÃO) - LOC. MUNDIAL")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=HYPERLINK("https://leilaoonline.net/lote/detalhe/215979", "32856")</f>
      </c>
      <c r="B161" s="4" t="s">
        <f>=HYPERLINK("https://leilaoonline.net/lote/detalhe/215979", " DOLLY. S/FR. (VENDA SEM DIREITO A DOCUMENTAÇÃO) - LOC. MUNDIAL")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=HYPERLINK("https://leilaoonline.net/lote/detalhe/215994", "32857")</f>
      </c>
      <c r="B162" s="4" t="s">
        <f>=HYPERLINK("https://leilaoonline.net/lote/detalhe/215994", " TRANSBORDO SANTAL. - FR91293. - LOC. MUNDIAL")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=HYPERLINK("https://leilaoonline.net/lote/detalhe/215987", "32858")</f>
      </c>
      <c r="B163" s="4" t="s">
        <f>=HYPERLINK("https://leilaoonline.net/lote/detalhe/215987", " REBOQUE GOYDO SRG GRA; ANO 2008/2008; AZUL. (COM TANQUE FIBRA) - FR96571/FR97966. - LOC. MUNDIAL")</f>
      </c>
      <c r="C163" s="4" t="inlineStr">
        <is>
          <t>Vendido</t>
        </is>
      </c>
      <c r="D163" s="4" t="inlineStr">
        <is>
          <t>66</t>
        </is>
      </c>
      <c r="E163" s="5" t="inlineStr">
        <is>
          <t>80.000,00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=HYPERLINK("https://leilaoonline.net/lote/detalhe/215992", "32859")</f>
      </c>
      <c r="B164" s="4" t="s">
        <f>=HYPERLINK("https://leilaoonline.net/lote/detalhe/215992", " ÔNIBUS MERCEDES BENZ OF 1315; ANO 1992/1992; BEGE. - FR81350. - LOC. MUNDIAL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31.000,00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=HYPERLINK("https://leilaoonline.net/lote/detalhe/216106", "32860")</f>
      </c>
      <c r="B165" s="4" t="s">
        <f>=HYPERLINK("https://leilaoonline.net/lote/detalhe/216106", " MMC L200 SPORT 4X4 GLS; ANO 2004/2005; PRATA. - FR112105. - LOC. BONFIM (VENDA PARA COMPRADORES DO ESTADO DE SÃO PAULO)")</f>
      </c>
      <c r="C165" s="4" t="inlineStr">
        <is>
          <t>Lote retirado</t>
        </is>
      </c>
      <c r="D165" s="4" t="inlineStr">
        <is>
          <t>5</t>
        </is>
      </c>
      <c r="E165" s="5" t="inlineStr">
        <is>
          <t>14.000,00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=HYPERLINK("https://leilaoonline.net/lote/detalhe/216107", "32861")</f>
      </c>
      <c r="B166" s="4" t="s">
        <f>=HYPERLINK("https://leilaoonline.net/lote/detalhe/216107", " SULCADOR. - FR122872. - LOC. BONFIM")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=HYPERLINK("https://leilaoonline.net/lote/detalhe/216097", "32862")</f>
      </c>
      <c r="B167" s="4" t="s">
        <f>=HYPERLINK("https://leilaoonline.net/lote/detalhe/216097", " 1 COMPACTOR E 1 IMPLEMENTO PSPC1101. - FR122349/FR117132. - LOC. BONFIM")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2.700,00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=HYPERLINK("https://leilaoonline.net/lote/detalhe/216091", "32863")</f>
      </c>
      <c r="B168" s="4" t="s">
        <f>=HYPERLINK("https://leilaoonline.net/lote/detalhe/216091", " PREPARADOR DE SOLO MAFES PENTA; ANO 2013. - FR103498. - LOC. BONFIM")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3.800,00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=HYPERLINK("https://leilaoonline.net/lote/detalhe/216115", "32864")</f>
      </c>
      <c r="B169" s="4" t="s">
        <f>=HYPERLINK("https://leilaoonline.net/lote/detalhe/216115", " 2 SULCADORES E 2 ESTRUTURAS DE IMPLEMENTOS. - FR122276/FR122089/FR122823. - LOC. BONFIM")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3.800,00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=HYPERLINK("https://leilaoonline.net/lote/detalhe/216093", "32865")</f>
      </c>
      <c r="B170" s="4" t="s">
        <f>=HYPERLINK("https://leilaoonline.net/lote/detalhe/216093", " CAMINHÃO MERCEDES BENZ AXOR 3344S 6X4; ANO 2014/2014. - FR362060 - LOC. BONFIM (VENDA SOMENTE PARA COMPRADORES DO ESTADO DE SÃO PAULO)")</f>
      </c>
      <c r="C170" s="4" t="inlineStr">
        <is>
          <t>Não vendido</t>
        </is>
      </c>
      <c r="D170" s="4" t="inlineStr">
        <is>
          <t>57</t>
        </is>
      </c>
      <c r="E170" s="5" t="inlineStr">
        <is>
          <t>81.000,00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=HYPERLINK("https://leilaoonline.net/lote/detalhe/216104", "32866")</f>
      </c>
      <c r="B171" s="4" t="s">
        <f>=HYPERLINK("https://leilaoonline.net/lote/detalhe/216104", " CAMINHÃO MERCEDES BENZ AXOR 3344S 6X4; ANO 2014/2014. - FR119969 - LOC. BONFIM (VENDA SOMENTE PARA COMPRADORES DO ESTADO DE SÃO PAULO)")</f>
      </c>
      <c r="C171" s="4" t="inlineStr">
        <is>
          <t>Vendido</t>
        </is>
      </c>
      <c r="D171" s="4" t="inlineStr">
        <is>
          <t>80</t>
        </is>
      </c>
      <c r="E171" s="5" t="inlineStr">
        <is>
          <t>122.000,00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=HYPERLINK("https://leilaoonline.net/lote/detalhe/216094", "32867")</f>
      </c>
      <c r="B172" s="4" t="s">
        <f>=HYPERLINK("https://leilaoonline.net/lote/detalhe/216094", " CAMINHÃO MERCEDES BENZ AXOR 3344S 6X4; ANO 2014/2014. - FR119974. - LOC. BONFIM (VENDA SOMENTE PARA COMPRADORES DO ESTADO DE SÃO PAULO)")</f>
      </c>
      <c r="C172" s="4" t="inlineStr">
        <is>
          <t>Vendido</t>
        </is>
      </c>
      <c r="D172" s="4" t="inlineStr">
        <is>
          <t>26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=HYPERLINK("https://leilaoonline.net/lote/detalhe/216092", "32868")</f>
      </c>
      <c r="B173" s="4" t="s">
        <f>=HYPERLINK("https://leilaoonline.net/lote/detalhe/216092", " CAMINHÃO COMBOIO VOLKSWAGEN 26.220 EURO3 WORKER; ANO 2010/2010. - FR119903. - LOC. BONFIM (VENDA SOMENTE PARA COMPRADORES DO ESTADO DE SÃO PAULO)")</f>
      </c>
      <c r="C173" s="4" t="inlineStr">
        <is>
          <t>Vendido</t>
        </is>
      </c>
      <c r="D173" s="4" t="inlineStr">
        <is>
          <t>80</t>
        </is>
      </c>
      <c r="E173" s="5" t="inlineStr">
        <is>
          <t>116.000,00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=HYPERLINK("https://leilaoonline.net/lote/detalhe/216098", "32869")</f>
      </c>
      <c r="B174" s="4" t="s">
        <f>=HYPERLINK("https://leilaoonline.net/lote/detalhe/216098", " CAMINHÃO VOLKSWAGEN 26.220 EURO3 WORKER; ANO 2010/2010; BRANCO. - FR119913. - LOC. BONFIM (VENDA SOMENTE PARA COMPRADORES DO ESTADO DE SÃO PAULO)")</f>
      </c>
      <c r="C174" s="4" t="inlineStr">
        <is>
          <t>Vendido</t>
        </is>
      </c>
      <c r="D174" s="4" t="inlineStr">
        <is>
          <t>83</t>
        </is>
      </c>
      <c r="E174" s="5" t="inlineStr">
        <is>
          <t>130.000,00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=HYPERLINK("https://leilaoonline.net/lote/detalhe/216103", "32870")</f>
      </c>
      <c r="B175" s="4" t="s">
        <f>=HYPERLINK("https://leilaoonline.net/lote/detalhe/216103", " GUINCHO CANARINHO. - CAP. 25.000KG. - FR119516. - LOC. BONFIM")</f>
      </c>
      <c r="C175" s="4" t="inlineStr">
        <is>
          <t>Vendido</t>
        </is>
      </c>
      <c r="D175" s="4" t="inlineStr">
        <is>
          <t>22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=HYPERLINK("https://leilaoonline.net/lote/detalhe/216096", "32871")</f>
      </c>
      <c r="B176" s="4" t="s">
        <f>=HYPERLINK("https://leilaoonline.net/lote/detalhe/216096", " CAMINHÃO VOLKSWAGEN 26.220 EURO3 WORKER; ANO 2010/2010; BRANCO. - FR119900. - LOC. BONFIM (VENDA SOMENTE PARA COMPRADORES DO ESTADO DE SÃO PAULO)")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=HYPERLINK("https://leilaoonline.net/lote/detalhe/216105", "32872")</f>
      </c>
      <c r="B177" s="4" t="s">
        <f>=HYPERLINK("https://leilaoonline.net/lote/detalhe/216105", " CAMINHÃO BAZUKA MERCEDES BENZ L 2638; ANO 2002/2002; BRANCO. - FR120852. - LOC. BONFIM (VENDA SOMENTE PARA COMPRADORES DO ESTADO DE SÃO PAULO)")</f>
      </c>
      <c r="C177" s="4" t="inlineStr">
        <is>
          <t>Não vendido</t>
        </is>
      </c>
      <c r="D177" s="4" t="inlineStr">
        <is>
          <t>9</t>
        </is>
      </c>
      <c r="E177" s="5" t="inlineStr">
        <is>
          <t>33.000,00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=HYPERLINK("https://leilaoonline.net/lote/detalhe/216095", "32873")</f>
      </c>
      <c r="B178" s="4" t="s">
        <f>=HYPERLINK("https://leilaoonline.net/lote/detalhe/216095", " CAMINHÃO MERCEDES BENZ AXOR 3344S 6X4; ANO 2014/2014; BRANCO. - FR119959. - LOC. BONFIM (VENDA SOMENTE PARA COMPRADORES DO ESTADO DE SÃO PAULO)")</f>
      </c>
      <c r="C178" s="4" t="inlineStr">
        <is>
          <t>Vendido</t>
        </is>
      </c>
      <c r="D178" s="4" t="inlineStr">
        <is>
          <t>43</t>
        </is>
      </c>
      <c r="E178" s="5" t="inlineStr">
        <is>
          <t>72.000,00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=HYPERLINK("https://leilaoonline.net/lote/detalhe/216116", "32874")</f>
      </c>
      <c r="B179" s="4" t="s">
        <f>=HYPERLINK("https://leilaoonline.net/lote/detalhe/216116", " CAMINHÃO MERCEDES BENZ 3344S 6X4; ANO 2014/2014; BRANCO. - FR119971. - LOC. BONFIM (VENDA SOMENTE PARA COMPRADORES DO ESTADO DE SÃO PAULO)")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56.000,00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=HYPERLINK("https://leilaoonline.net/lote/detalhe/216117", "32875")</f>
      </c>
      <c r="B180" s="4" t="s">
        <f>=HYPERLINK("https://leilaoonline.net/lote/detalhe/216117", " CAMINHÃO COMBOIO VOLKSWAGEN 15.180 EURO3 WORKER; ANO 2010/2010; BRANCO. - FR34095. - LOC. BONFIM (VENDA SOMENTE PARA COMPRADORES DO ESTADO DE SÃO PAULO)")</f>
      </c>
      <c r="C180" s="4" t="inlineStr">
        <is>
          <t>Vendido</t>
        </is>
      </c>
      <c r="D180" s="4" t="inlineStr">
        <is>
          <t>41</t>
        </is>
      </c>
      <c r="E180" s="5" t="inlineStr">
        <is>
          <t>86.000,00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=HYPERLINK("https://leilaoonline.net/lote/detalhe/216119", "32876")</f>
      </c>
      <c r="B181" s="4" t="s">
        <f>=HYPERLINK("https://leilaoonline.net/lote/detalhe/216119", " CAMINHÃO VOLKSWAGEN 26.220 EURO3 WORKER; ANO 2010/2010; BRANCO. - FR119902. - LOC. BONFIM (VENDA SOMENTE PARA COMPRADORES DO ESTADO DE SÃO PAULO)")</f>
      </c>
      <c r="C181" s="4" t="inlineStr">
        <is>
          <t>Vendido</t>
        </is>
      </c>
      <c r="D181" s="4" t="inlineStr">
        <is>
          <t>59</t>
        </is>
      </c>
      <c r="E181" s="5" t="inlineStr">
        <is>
          <t>84.000,00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=HYPERLINK("https://leilaoonline.net/lote/detalhe/216108", "32877")</f>
      </c>
      <c r="B182" s="4" t="s">
        <f>=HYPERLINK("https://leilaoonline.net/lote/detalhe/216108", " CAMINHÃO MERCEDES BENZ AXOR 3344S 6X4; ANO 2014/2014; BRANCO. - FR131230. - LOC. BONFIM (VENDA SOMENTE PARA COMPRADORES DO ESTADO DE SÃO PAULO)")</f>
      </c>
      <c r="C182" s="4" t="inlineStr">
        <is>
          <t>Vendido</t>
        </is>
      </c>
      <c r="D182" s="4" t="inlineStr">
        <is>
          <t>62</t>
        </is>
      </c>
      <c r="E182" s="5" t="inlineStr">
        <is>
          <t>91.000,00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=HYPERLINK("https://leilaoonline.net/lote/detalhe/216101", "32878")</f>
      </c>
      <c r="B183" s="4" t="s">
        <f>=HYPERLINK("https://leilaoonline.net/lote/detalhe/216101", "REBOQUE TECTRAN RCM F1F1; ANO 1997/1997; COR GRENÁ. (COM HIDRO ROLL E MOTOR) - FR360541. - LOC. BONFIM (VENDA PARA COMPRADORES DO ESTADO DE SÃO PAULO)")</f>
      </c>
      <c r="C183" s="4" t="inlineStr">
        <is>
          <t>Vendido</t>
        </is>
      </c>
      <c r="D183" s="4" t="inlineStr">
        <is>
          <t>12</t>
        </is>
      </c>
      <c r="E183" s="5" t="inlineStr">
        <is>
          <t>21.000,00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=HYPERLINK("https://leilaoonline.net/lote/detalhe/216114", "32879")</f>
      </c>
      <c r="B184" s="4" t="s">
        <f>=HYPERLINK("https://leilaoonline.net/lote/detalhe/216114", " CAMINHÃO VOLKSWAGEN 15.190 WORKER; ANO 2014/2014; BRANCO. - FR119980. - LOC. BONFIM (VENDA SOMENTE PARA COMPRADORES DO ESTADO DE SÃO PAULO)")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28.000,00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=HYPERLINK("https://leilaoonline.net/lote/detalhe/216100", "32880")</f>
      </c>
      <c r="B185" s="4" t="s">
        <f>=HYPERLINK("https://leilaoonline.net/lote/detalhe/216100", " CAMINHÃO BAÚ VOLKSWAGEN 15.190 WORKER; ANO 2012/2013; BRANCO. - FR360456. - LOC. BONFIM (VENDA SOMENTE PARA COMPRADORES DO ESTADO DE SÃO PAULO)")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=HYPERLINK("https://leilaoonline.net/lote/detalhe/216118", "32881")</f>
      </c>
      <c r="B186" s="4" t="s">
        <f>=HYPERLINK("https://leilaoonline.net/lote/detalhe/216118", "CAMINHÃO VOLKSWAGEN 15.180 EURO3 WORKER; ANO 2010/2010; BRANCO. - FR119904. - LOC. BONFIM (VENDA SOMENTE PARA COMPRADORES DO ESTADO DE SÃO PAULO)")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=HYPERLINK("https://leilaoonline.net/lote/detalhe/216113", "32882")</f>
      </c>
      <c r="B187" s="4" t="s">
        <f>=HYPERLINK("https://leilaoonline.net/lote/detalhe/216113", " CAMINHÃO COMBOIO VOLKSWAGEN 15.180 EURO3 WORKER; ANO 2010/2010; BRANCO. - FR112243. - LOC. BONFIM (VENDA SOMENTE PARA COMPRADORES DO ESTADO DE SÃO PAULO)")</f>
      </c>
      <c r="C187" s="4" t="inlineStr">
        <is>
          <t>Vendido</t>
        </is>
      </c>
      <c r="D187" s="4" t="inlineStr">
        <is>
          <t>41</t>
        </is>
      </c>
      <c r="E187" s="5" t="inlineStr">
        <is>
          <t>70.000,00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=HYPERLINK("https://leilaoonline.net/lote/detalhe/216109", "32883")</f>
      </c>
      <c r="B188" s="4" t="s">
        <f>=HYPERLINK("https://leilaoonline.net/lote/detalhe/216109", " CAMINHÃO COMBOIO VOLKSWAGEN 15.180 EURO3 WORKER; ANO 2010/2010; BRANCO. - FR131218. - LOC. BONFIM (VENDA SOMENTE PARA COMPRADORES DO ESTADO DE SÃO PAULO)")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55.000,00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=HYPERLINK("https://leilaoonline.net/lote/detalhe/216110", "32884")</f>
      </c>
      <c r="B189" s="4" t="s">
        <f>=HYPERLINK("https://leilaoonline.net/lote/detalhe/216110", " CAMINHÃO MERCEDES BENZ L 1113 TOCO; ANO 1983/1983; BRANCO. - FR119709. - LOC. BONFIM (VENDA SOMENTE PARA COMPRADORES DO ESTADO DE SÃO PAULO)")</f>
      </c>
      <c r="C189" s="4" t="inlineStr">
        <is>
          <t>Vendido</t>
        </is>
      </c>
      <c r="D189" s="4" t="inlineStr">
        <is>
          <t>24</t>
        </is>
      </c>
      <c r="E189" s="5" t="inlineStr">
        <is>
          <t>33.000,00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=HYPERLINK("https://leilaoonline.net/lote/detalhe/216121", "32885")</f>
      </c>
      <c r="B190" s="4" t="s">
        <f>=HYPERLINK("https://leilaoonline.net/lote/detalhe/216121", " CAMINHÃO VOLKSWAGEN 26.220 EURO3 WORKER; ANO 2010/2010; BRANCO. - FR119901. - LOC. BONFIM (VENDA SOMENTE PARA COMPRADORES DO ESTADO DE SÃO PAULO)")</f>
      </c>
      <c r="C190" s="4" t="inlineStr">
        <is>
          <t>Vendido</t>
        </is>
      </c>
      <c r="D190" s="4" t="inlineStr">
        <is>
          <t>53</t>
        </is>
      </c>
      <c r="E190" s="5" t="inlineStr">
        <is>
          <t>123.000,00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=HYPERLINK("https://leilaoonline.net/lote/detalhe/216111", "32886")</f>
      </c>
      <c r="B191" s="4" t="s">
        <f>=HYPERLINK("https://leilaoonline.net/lote/detalhe/216111", " 1 ENXADA ROTATIVA HOWARD CH 3000 E 2  LAMINAS. - FR92870/FR122102. - LOC. BONFIM")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=HYPERLINK("https://leilaoonline.net/lote/detalhe/216120", "32887")</f>
      </c>
      <c r="B192" s="4" t="s">
        <f>=HYPERLINK("https://leilaoonline.net/lote/detalhe/216120", " CARRETA TANQUE. - FR122421. - LOC. BONFIM")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=HYPERLINK("https://leilaoonline.net/lote/detalhe/216099", "32888")</f>
      </c>
      <c r="B193" s="4" t="s">
        <f>=HYPERLINK("https://leilaoonline.net/lote/detalhe/216099", " 1 CARRETA SERVIÇOS GERAIS. -  S/FR. - 1 AGROMATÃO SERIE 0009-13. - LOC. BONFIM")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=HYPERLINK("https://leilaoonline.net/lote/detalhe/216112", "32889")</f>
      </c>
      <c r="B194" s="4" t="s">
        <f>=HYPERLINK("https://leilaoonline.net/lote/detalhe/216112", "VOLKSWAGEN SANTANA; ANO 1999/2000; PRATA. - FR118820. - LOC. BONFIM")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=HYPERLINK("https://leilaoonline.net/lote/detalhe/216102", "32890")</f>
      </c>
      <c r="B195" s="4" t="s">
        <f>=HYPERLINK("https://leilaoonline.net/lote/detalhe/216102", " CARROCERIA TANQUE AÇO. - FR121803/FR120579. - LOC. BONFIM")</f>
      </c>
      <c r="C195" s="4" t="inlineStr">
        <is>
          <t>Vendido</t>
        </is>
      </c>
      <c r="D195" s="4" t="inlineStr">
        <is>
          <t>45</t>
        </is>
      </c>
      <c r="E195" s="5" t="inlineStr">
        <is>
          <t>28.500,00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=HYPERLINK("https://leilaoonline.net/lote/detalhe/216249", "32891")</f>
      </c>
      <c r="B196" s="4" t="s">
        <f>=HYPERLINK("https://leilaoonline.net/lote/detalhe/216249", " SEMI-REBOQUE USICAMP SRCP E2 10000; ANO 2008/2008; AZUL. - FR56326. - LOC. ZANIN")</f>
      </c>
      <c r="C196" s="4" t="inlineStr">
        <is>
          <t>Vendido</t>
        </is>
      </c>
      <c r="D196" s="4" t="inlineStr">
        <is>
          <t>24</t>
        </is>
      </c>
      <c r="E196" s="5" t="inlineStr">
        <is>
          <t>38.000,00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=HYPERLINK("https://leilaoonline.net/lote/detalhe/216248", "32892")</f>
      </c>
      <c r="B197" s="4" t="s">
        <f>=HYPERLINK("https://leilaoonline.net/lote/detalhe/216248", " REBOQUE RANDONSP RQ CA; ANO 2013/2014; CINZA. - FR11219. - LOC. ZANIN")</f>
      </c>
      <c r="C197" s="4" t="inlineStr">
        <is>
          <t>Vendido</t>
        </is>
      </c>
      <c r="D197" s="4" t="inlineStr">
        <is>
          <t>37</t>
        </is>
      </c>
      <c r="E197" s="5" t="inlineStr">
        <is>
          <t>61.000,00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=HYPERLINK("https://leilaoonline.net/lote/detalhe/216253", "32893")</f>
      </c>
      <c r="B198" s="4" t="s">
        <f>=HYPERLINK("https://leilaoonline.net/lote/detalhe/216253", " REBOQUE RANDONSP RQ CA; ANO 2013/2014; CINZA. - FR93663. - LOC. ZANIN")</f>
      </c>
      <c r="C198" s="4" t="inlineStr">
        <is>
          <t>Vendido</t>
        </is>
      </c>
      <c r="D198" s="4" t="inlineStr">
        <is>
          <t>35</t>
        </is>
      </c>
      <c r="E198" s="5" t="inlineStr">
        <is>
          <t>59.000,00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=HYPERLINK("https://leilaoonline.net/lote/detalhe/216247", "32894")</f>
      </c>
      <c r="B199" s="4" t="s">
        <f>=HYPERLINK("https://leilaoonline.net/lote/detalhe/216247", " REBOQUE FNV - FRUEHAUF RCR; ANO 1993/1993; AZUL. - FR96026. - LOC. ZANIN")</f>
      </c>
      <c r="C199" s="4" t="inlineStr">
        <is>
          <t>Vendido</t>
        </is>
      </c>
      <c r="D199" s="4" t="inlineStr">
        <is>
          <t>11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=HYPERLINK("https://leilaoonline.net/lote/detalhe/216257", "32896")</f>
      </c>
      <c r="B200" s="4" t="s">
        <f>=HYPERLINK("https://leilaoonline.net/lote/detalhe/216257", " SEMI-REBOQUE USICAMP SRCP E2 10000; ANO 2008/2008; AZUL. - FR56345. - LOC. ZANIN")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=HYPERLINK("https://leilaoonline.net/lote/detalhe/216263", "32897")</f>
      </c>
      <c r="B201" s="4" t="s">
        <f>=HYPERLINK("https://leilaoonline.net/lote/detalhe/216263", " REBOQUE RANDONSP RQ CA; ANO 2010/2010; AUL. - FR58813. - LOC. ZANIN")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=HYPERLINK("https://leilaoonline.net/lote/detalhe/216264", "32898")</f>
      </c>
      <c r="B202" s="4" t="s">
        <f>=HYPERLINK("https://leilaoonline.net/lote/detalhe/216264", " REBOQUE RANDON RQ CP HI; ANO 2010/2010; AZUL. - FR93633. - LOC. ZANIN")</f>
      </c>
      <c r="C202" s="4" t="inlineStr">
        <is>
          <t>Não vendido</t>
        </is>
      </c>
      <c r="D202" s="4" t="inlineStr">
        <is>
          <t>19</t>
        </is>
      </c>
      <c r="E202" s="5" t="inlineStr">
        <is>
          <t>43.000,00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=HYPERLINK("https://leilaoonline.net/lote/detalhe/216265", "32899")</f>
      </c>
      <c r="B203" s="4" t="s">
        <f>=HYPERLINK("https://leilaoonline.net/lote/detalhe/216265", " REBOQUE TRANSBORDO FACCHINI RFRBC; ANO 1992/1992; AZUL. - FR96158. - LOC. ZANIN")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21.000,00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=HYPERLINK("https://leilaoonline.net/lote/detalhe/214983", "32900")</f>
      </c>
      <c r="B204" s="4" t="s">
        <f>=HYPERLINK("https://leilaoonline.net/lote/detalhe/214983", " CAMINHÃO VOLKSWAGEN 8.120 EURO3; ANO 2010/2010; BRANCO. - FR96335. - LOC. BARRA BONITA - (VENDA SOMENTE PARA COMPRADORES DO ESTADO DE SÃO PAULO)")</f>
      </c>
      <c r="C204" s="4" t="inlineStr">
        <is>
          <t>Vendido</t>
        </is>
      </c>
      <c r="D204" s="4" t="inlineStr">
        <is>
          <t>50</t>
        </is>
      </c>
      <c r="E204" s="5" t="inlineStr">
        <is>
          <t>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=HYPERLINK("https://leilaoonline.net/lote/detalhe/214992", "32901")</f>
      </c>
      <c r="B205" s="4" t="s">
        <f>=HYPERLINK("https://leilaoonline.net/lote/detalhe/214992", " CAMINHÃO VOLKSWAGEN 8.120 EURO3; ANO 2010/2010; BRANCO. - FR96331. - LOC. BARRA BONITA - (VENDA SOMENTE PARA COMPRADORES DO ESTADO DE SÃO PAULO)")</f>
      </c>
      <c r="C205" s="4" t="inlineStr">
        <is>
          <t>Vendido</t>
        </is>
      </c>
      <c r="D205" s="4" t="inlineStr">
        <is>
          <t>57</t>
        </is>
      </c>
      <c r="E205" s="5" t="inlineStr">
        <is>
          <t>76.000,00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=HYPERLINK("https://leilaoonline.net/lote/detalhe/214981", "32902")</f>
      </c>
      <c r="B206" s="4" t="s">
        <f>=HYPERLINK("https://leilaoonline.net/lote/detalhe/214981", " TRATOR JOHN DEERE. - FR106610. - LOC. BARRA BONITA")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=HYPERLINK("https://leilaoonline.net/lote/detalhe/214986", "32903")</f>
      </c>
      <c r="B207" s="4" t="s">
        <f>=HYPERLINK("https://leilaoonline.net/lote/detalhe/214986", " TRATOR CASE MAGNUM 235. - FR100013. - LOC. BARRA BONITA")</f>
      </c>
      <c r="C207" s="4" t="inlineStr">
        <is>
          <t>Lote retirado</t>
        </is>
      </c>
      <c r="D207" s="4" t="inlineStr">
        <is>
          <t>1</t>
        </is>
      </c>
      <c r="E207" s="5" t="inlineStr">
        <is>
          <t>35.000,00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=HYPERLINK("https://leilaoonline.net/lote/detalhe/214982", "32904")</f>
      </c>
      <c r="B208" s="4" t="s">
        <f>=HYPERLINK("https://leilaoonline.net/lote/detalhe/214982", " TRATOR JOHN DEERE 7225J. - FR91436. - LOC. BARRA BONITA")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35.000,00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=HYPERLINK("https://leilaoonline.net/lote/detalhe/214987", "32905")</f>
      </c>
      <c r="B209" s="4" t="s">
        <f>=HYPERLINK("https://leilaoonline.net/lote/detalhe/214987", " MOTOR. - S/FR. - LOC. BARRA BONITA")</f>
      </c>
      <c r="C209" s="4" t="inlineStr">
        <is>
          <t>Vendido</t>
        </is>
      </c>
      <c r="D209" s="4" t="inlineStr">
        <is>
          <t>32</t>
        </is>
      </c>
      <c r="E209" s="5" t="inlineStr">
        <is>
          <t>7.200,00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=HYPERLINK("https://leilaoonline.net/lote/detalhe/215013", "32906")</f>
      </c>
      <c r="B210" s="4" t="s">
        <f>=HYPERLINK("https://leilaoonline.net/lote/detalhe/215013", " MOTOR. - S/FR. - LOC. BARRA BONITA")</f>
      </c>
      <c r="C210" s="4" t="inlineStr">
        <is>
          <t>Vendido</t>
        </is>
      </c>
      <c r="D210" s="4" t="inlineStr">
        <is>
          <t>67</t>
        </is>
      </c>
      <c r="E210" s="5" t="inlineStr">
        <is>
          <t>13.850,00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=HYPERLINK("https://leilaoonline.net/lote/detalhe/215008", "32907")</f>
      </c>
      <c r="B211" s="4" t="s">
        <f>=HYPERLINK("https://leilaoonline.net/lote/detalhe/215008", " CHEVROLET S10 LS FD2; ANO 2013/2013; BRANCO. - FR95188.- LOC. BARRA BONITA")</f>
      </c>
      <c r="C211" s="4" t="inlineStr">
        <is>
          <t>Vendido</t>
        </is>
      </c>
      <c r="D211" s="4" t="inlineStr">
        <is>
          <t>22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=HYPERLINK("https://leilaoonline.net/lote/detalhe/214989", "32908")</f>
      </c>
      <c r="B212" s="4" t="s">
        <f>=HYPERLINK("https://leilaoonline.net/lote/detalhe/214989", "CAMINHÃO VOLKSWAGEN 26.220 EURO3 WORKER; ANO 2011/2012; BRANCO. - FR96646. (MOTOR TRAVADO) - LOC. BARRA BONITA - (VENDA SOMENTE PARA COMPRADORES DO ESTADO DE SÃO PAULO)")</f>
      </c>
      <c r="C212" s="4" t="inlineStr">
        <is>
          <t>Vendido</t>
        </is>
      </c>
      <c r="D212" s="4" t="inlineStr">
        <is>
          <t>74</t>
        </is>
      </c>
      <c r="E212" s="5" t="inlineStr">
        <is>
          <t>159.000,00</t>
        </is>
      </c>
      <c r="F212" s="4" t="inlineStr">
        <is>
          <t>2000.00</t>
        </is>
      </c>
    </row>
    <row collapsed="false" customFormat="false" customHeight="false" hidden="false" ht="12.1" outlineLevel="0" r="213">
      <c r="A213" s="5" t="s">
        <f>=HYPERLINK("https://leilaoonline.net/lote/detalhe/215010", "32909")</f>
      </c>
      <c r="B213" s="4" t="s">
        <f>=HYPERLINK("https://leilaoonline.net/lote/detalhe/215010", "COLHEDORA JOHN DEERE; ANO 2013. - FR10069. - LOC. BARRA BONITA")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=HYPERLINK("https://leilaoonline.net/lote/detalhe/214984", "32910")</f>
      </c>
      <c r="B214" s="4" t="s">
        <f>=HYPERLINK("https://leilaoonline.net/lote/detalhe/214984", "COLHEDORA JOHN DEERE; ANO 2011. - FR128513. - LOC. BARRA BONITA")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=HYPERLINK("https://leilaoonline.net/lote/detalhe/214996", "32911")</f>
      </c>
      <c r="B215" s="4" t="s">
        <f>=HYPERLINK("https://leilaoonline.net/lote/detalhe/214996", "COLHEDORA JOHN DEERE. - FR81506. - LOC. BARRA BONITA")</f>
      </c>
      <c r="C215" s="4" t="inlineStr">
        <is>
          <t>Lote retirado</t>
        </is>
      </c>
      <c r="D215" s="4" t="inlineStr">
        <is>
          <t>3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=HYPERLINK("https://leilaoonline.net/lote/detalhe/214998", "32912")</f>
      </c>
      <c r="B216" s="4" t="s">
        <f>=HYPERLINK("https://leilaoonline.net/lote/detalhe/214998", " TRATOR VALTRA BH 210, ANO 2014. - FR106662. - LOC. BARRA BONITA")</f>
      </c>
      <c r="C216" s="4" t="inlineStr">
        <is>
          <t>Vendido</t>
        </is>
      </c>
      <c r="D216" s="4" t="inlineStr">
        <is>
          <t>89</t>
        </is>
      </c>
      <c r="E216" s="5" t="inlineStr">
        <is>
          <t>130.000,00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=HYPERLINK("https://leilaoonline.net/lote/detalhe/214985", "32913")</f>
      </c>
      <c r="B217" s="4" t="s">
        <f>=HYPERLINK("https://leilaoonline.net/lote/detalhe/214985", " CAMINHÃO VOLKSWAGEN 26.220 EURO3 WORKER; ANO 2006/2006; BRANCO. - FR98557. - LOC. BARRA BONITA - (VENDA SOMENTE PARA COMPRADORES DO ESTADO DE SÃO PAULO)")</f>
      </c>
      <c r="C217" s="4" t="inlineStr">
        <is>
          <t>Não vendido</t>
        </is>
      </c>
      <c r="D217" s="4" t="inlineStr">
        <is>
          <t>85</t>
        </is>
      </c>
      <c r="E217" s="5" t="inlineStr">
        <is>
          <t>169.000,00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=HYPERLINK("https://leilaoonline.net/lote/detalhe/214988", "32914")</f>
      </c>
      <c r="B218" s="4" t="s">
        <f>=HYPERLINK("https://leilaoonline.net/lote/detalhe/214988", " CONJUNTO BORRACHAO DE ESTEIRA. - S/FR. - LOC. BARRA BONITA")</f>
      </c>
      <c r="C218" s="4" t="inlineStr">
        <is>
          <t>Vendido</t>
        </is>
      </c>
      <c r="D218" s="4" t="inlineStr">
        <is>
          <t>30</t>
        </is>
      </c>
      <c r="E218" s="5" t="inlineStr">
        <is>
          <t>4.200,00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=HYPERLINK("https://leilaoonline.net/lote/detalhe/215003", "32915")</f>
      </c>
      <c r="B219" s="4" t="s">
        <f>=HYPERLINK("https://leilaoonline.net/lote/detalhe/215003", "CONJUNTO DE SUCATA  DE MOTORES ELÉTRICOS. - S/FR. - LOC. BARRA BONITA")</f>
      </c>
      <c r="C219" s="4" t="inlineStr">
        <is>
          <t>Vendido</t>
        </is>
      </c>
      <c r="D219" s="4" t="inlineStr">
        <is>
          <t>67</t>
        </is>
      </c>
      <c r="E219" s="5" t="inlineStr">
        <is>
          <t>11.800,00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=HYPERLINK("https://leilaoonline.net/lote/detalhe/214994", "32916")</f>
      </c>
      <c r="B220" s="4" t="s">
        <f>=HYPERLINK("https://leilaoonline.net/lote/detalhe/214994", " MOTOR ELETRICO DE CALDEIRA 1600 CV. - S/FR. - LOC. BARRA BONITA")</f>
      </c>
      <c r="C220" s="4" t="inlineStr">
        <is>
          <t>Vendido</t>
        </is>
      </c>
      <c r="D220" s="4" t="inlineStr">
        <is>
          <t>71</t>
        </is>
      </c>
      <c r="E220" s="5" t="inlineStr">
        <is>
          <t>31.100,00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=HYPERLINK("https://leilaoonline.net/lote/detalhe/215007", "32917")</f>
      </c>
      <c r="B221" s="4" t="s">
        <f>=HYPERLINK("https://leilaoonline.net/lote/detalhe/215007", " PENEIRA. - S/FR. - LOC. BARRA BONITA")</f>
      </c>
      <c r="C221" s="4" t="inlineStr">
        <is>
          <t>Vendido</t>
        </is>
      </c>
      <c r="D221" s="4" t="inlineStr">
        <is>
          <t>28</t>
        </is>
      </c>
      <c r="E221" s="5" t="inlineStr">
        <is>
          <t>5.600,00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=HYPERLINK("https://leilaoonline.net/lote/detalhe/215001", "32918")</f>
      </c>
      <c r="B222" s="4" t="s">
        <f>=HYPERLINK("https://leilaoonline.net/lote/detalhe/215001", " TANQUE. - S/FR. - LOC. BARRA BONITA")</f>
      </c>
      <c r="C222" s="4" t="inlineStr">
        <is>
          <t>Vendido</t>
        </is>
      </c>
      <c r="D222" s="4" t="inlineStr">
        <is>
          <t>45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=HYPERLINK("https://leilaoonline.net/lote/detalhe/214991", "32919")</f>
      </c>
      <c r="B223" s="4" t="s">
        <f>=HYPERLINK("https://leilaoonline.net/lote/detalhe/214991", " TELA DE FILTRO INOX. - S/FR. - LOC. BARRA BONITA")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2.100,00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=HYPERLINK("https://leilaoonline.net/lote/detalhe/214993", "32920")</f>
      </c>
      <c r="B224" s="4" t="s">
        <f>=HYPERLINK("https://leilaoonline.net/lote/detalhe/214993", " ROÇADEIRA. - FR1266. - LOC. PARAÍSO")</f>
      </c>
      <c r="C224" s="4" t="inlineStr">
        <is>
          <t>Vendido</t>
        </is>
      </c>
      <c r="D224" s="4" t="inlineStr">
        <is>
          <t>27</t>
        </is>
      </c>
      <c r="E224" s="5" t="inlineStr">
        <is>
          <t>4.700,00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=HYPERLINK("https://leilaoonline.net/lote/detalhe/215018", "32921")</f>
      </c>
      <c r="B225" s="4" t="s">
        <f>=HYPERLINK("https://leilaoonline.net/lote/detalhe/215018", " 15 PNEUS DE TRANSBORDO; 20 PNEUS RODOVIÁRIOS. - S/FR. - LOC. PARAÍSO")</f>
      </c>
      <c r="C225" s="4" t="inlineStr">
        <is>
          <t>Vendido</t>
        </is>
      </c>
      <c r="D225" s="4" t="inlineStr">
        <is>
          <t>49</t>
        </is>
      </c>
      <c r="E225" s="5" t="inlineStr">
        <is>
          <t>13.200,00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=HYPERLINK("https://leilaoonline.net/lote/detalhe/215004", "32922")</f>
      </c>
      <c r="B226" s="4" t="s">
        <f>=HYPERLINK("https://leilaoonline.net/lote/detalhe/215004", " 4 COLUNAS DE INOX. - S/FR. - LOC. PARAÍSO")</f>
      </c>
      <c r="C226" s="4" t="inlineStr">
        <is>
          <t>Vendido</t>
        </is>
      </c>
      <c r="D226" s="4" t="inlineStr">
        <is>
          <t>91</t>
        </is>
      </c>
      <c r="E226" s="5" t="inlineStr">
        <is>
          <t>32.900,00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=HYPERLINK("https://leilaoonline.net/lote/detalhe/214990", "32923")</f>
      </c>
      <c r="B227" s="4" t="s">
        <f>=HYPERLINK("https://leilaoonline.net/lote/detalhe/214990", " 2 ESTEIRAS 8 E 18 METROS. - S/FR. - LOC. PARAÍSO")</f>
      </c>
      <c r="C227" s="4" t="inlineStr">
        <is>
          <t>Vendido</t>
        </is>
      </c>
      <c r="D227" s="4" t="inlineStr">
        <is>
          <t>53</t>
        </is>
      </c>
      <c r="E227" s="5" t="inlineStr">
        <is>
          <t>17.100,00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=HYPERLINK("https://leilaoonline.net/lote/detalhe/215016", "32924")</f>
      </c>
      <c r="B228" s="4" t="s">
        <f>=HYPERLINK("https://leilaoonline.net/lote/detalhe/215016", " 3 CAIXAS DE CONDUÍTES, SUCATA DE CATRACA, AR CONDICIONADO E 4 TVS DIVERSAS. - S/FR. - LOC. PARAÍSO")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1.100,00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=HYPERLINK("https://leilaoonline.net/lote/detalhe/215014", "32925")</f>
      </c>
      <c r="B229" s="4" t="s">
        <f>=HYPERLINK("https://leilaoonline.net/lote/detalhe/215014", " TRANSBORDO ANTONIOSI; ANO 2012. - FR361417. - LOC. PARAÍSO")</f>
      </c>
      <c r="C229" s="4" t="inlineStr">
        <is>
          <t>Vendido</t>
        </is>
      </c>
      <c r="D229" s="4" t="inlineStr">
        <is>
          <t>26</t>
        </is>
      </c>
      <c r="E229" s="5" t="inlineStr">
        <is>
          <t>35.000,00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=HYPERLINK("https://leilaoonline.net/lote/detalhe/215017", "32926")</f>
      </c>
      <c r="B230" s="4" t="s">
        <f>=HYPERLINK("https://leilaoonline.net/lote/detalhe/215017", " TRANSBORDO ANTONIOSI; ANO 2012. - FR361619. - LOC. PARAÍSO")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=HYPERLINK("https://leilaoonline.net/lote/detalhe/214999", "32927")</f>
      </c>
      <c r="B231" s="4" t="s">
        <f>=HYPERLINK("https://leilaoonline.net/lote/detalhe/214999", "TRANSBORDO; ANO 2008. - FR47014. - LOC. PARAÍSO")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=HYPERLINK("https://leilaoonline.net/lote/detalhe/215009", "32928")</f>
      </c>
      <c r="B232" s="4" t="s">
        <f>=HYPERLINK("https://leilaoonline.net/lote/detalhe/215009", " TRANSBORDO; ANO 2008. - FR107695. - LOC. PARAÍSO")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16.000,00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=HYPERLINK("https://leilaoonline.net/lote/detalhe/215020", "32929")</f>
      </c>
      <c r="B233" s="4" t="s">
        <f>=HYPERLINK("https://leilaoonline.net/lote/detalhe/215020", " TRANSBORDO; ANO 2010. - FR102035. - LOC. PARAÍSO")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44.000,00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=HYPERLINK("https://leilaoonline.net/lote/detalhe/215002", "32930")</f>
      </c>
      <c r="B234" s="4" t="s">
        <f>=HYPERLINK("https://leilaoonline.net/lote/detalhe/215002", " APROX. 10 TONELADAS DE SUCATA DE TUBOS DE EVAPORAÇÃO DE APROX. 4 METROS. - S/FR. (LANCE POR QUILO) - LOC. PARAÍSO")</f>
      </c>
      <c r="C234" s="4" t="inlineStr">
        <is>
          <t>Vendido</t>
        </is>
      </c>
      <c r="D234" s="4" t="inlineStr">
        <is>
          <t>14</t>
        </is>
      </c>
      <c r="E234" s="5" t="inlineStr">
        <is>
          <t>22.000,00</t>
        </is>
      </c>
      <c r="F234" s="4" t="inlineStr">
        <is>
          <t>0.10</t>
        </is>
      </c>
    </row>
    <row collapsed="false" customFormat="false" customHeight="false" hidden="false" ht="12.1" outlineLevel="0" r="235">
      <c r="A235" s="5" t="s">
        <f>=HYPERLINK("https://leilaoonline.net/lote/detalhe/215000", "32931")</f>
      </c>
      <c r="B235" s="4" t="s">
        <f>=HYPERLINK("https://leilaoonline.net/lote/detalhe/215000", " SEMI REBOQUE RANDON SR CA; ANO 2007/2007; AZUL. - FR96185. - LOC. SANTA CÂNDIDA")</f>
      </c>
      <c r="C235" s="4" t="inlineStr">
        <is>
          <t>Vendido</t>
        </is>
      </c>
      <c r="D235" s="4" t="inlineStr">
        <is>
          <t>11</t>
        </is>
      </c>
      <c r="E235" s="5" t="inlineStr">
        <is>
          <t>30.000,00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=HYPERLINK("https://leilaoonline.net/lote/detalhe/215006", "32932")</f>
      </c>
      <c r="B236" s="4" t="s">
        <f>=HYPERLINK("https://leilaoonline.net/lote/detalhe/215006", " CARRETEL TURBOMAQ. - FR20164. - LOC. SANTA CÂNDIDA")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3.100,00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=HYPERLINK("https://leilaoonline.net/lote/detalhe/215011", "32933")</f>
      </c>
      <c r="B237" s="4" t="s">
        <f>=HYPERLINK("https://leilaoonline.net/lote/detalhe/215011", " CARRETEL. - FR20888. - LOC. SANTA CÂNDIDA")</f>
      </c>
      <c r="C237" s="4" t="inlineStr">
        <is>
          <t>Não vendido</t>
        </is>
      </c>
      <c r="D237" s="4" t="inlineStr">
        <is>
          <t>24</t>
        </is>
      </c>
      <c r="E237" s="5" t="inlineStr">
        <is>
          <t>7.700,00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=HYPERLINK("https://leilaoonline.net/lote/detalhe/215015", "32934")</f>
      </c>
      <c r="B238" s="4" t="s">
        <f>=HYPERLINK("https://leilaoonline.net/lote/detalhe/215015", "TRATOR VALTRA BH 210; ANO 2015. - FR18065. - LOC. SANTA CÂNDIDA")</f>
      </c>
      <c r="C238" s="4" t="inlineStr">
        <is>
          <t>Não vendido</t>
        </is>
      </c>
      <c r="D238" s="4" t="inlineStr">
        <is>
          <t>109</t>
        </is>
      </c>
      <c r="E238" s="5" t="inlineStr">
        <is>
          <t>169.000,00</t>
        </is>
      </c>
      <c r="F238" s="4" t="inlineStr">
        <is>
          <t>2000.00</t>
        </is>
      </c>
    </row>
    <row collapsed="false" customFormat="false" customHeight="false" hidden="false" ht="12.1" outlineLevel="0" r="239">
      <c r="A239" s="5" t="s">
        <f>=HYPERLINK("https://leilaoonline.net/lote/detalhe/215019", "32935")</f>
      </c>
      <c r="B239" s="4" t="s">
        <f>=HYPERLINK("https://leilaoonline.net/lote/detalhe/215019", " CENTRÍFUGA. - S/FR. - LOC. SANTA CÂNDIDA")</f>
      </c>
      <c r="C239" s="4" t="inlineStr">
        <is>
          <t>Vendido</t>
        </is>
      </c>
      <c r="D239" s="4" t="inlineStr">
        <is>
          <t>57</t>
        </is>
      </c>
      <c r="E239" s="5" t="inlineStr">
        <is>
          <t>11.050,00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=HYPERLINK("https://leilaoonline.net/lote/detalhe/215012", "32936")</f>
      </c>
      <c r="B240" s="4" t="s">
        <f>=HYPERLINK("https://leilaoonline.net/lote/detalhe/215012", " 4 ROLOS/TAMBOR DE ESTEIRA. - S/FR. - LOC. SANTA CÂNDIDA")</f>
      </c>
      <c r="C240" s="4" t="inlineStr">
        <is>
          <t>Vendido</t>
        </is>
      </c>
      <c r="D240" s="4" t="inlineStr">
        <is>
          <t>17</t>
        </is>
      </c>
      <c r="E240" s="5" t="inlineStr">
        <is>
          <t>3.300,00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=HYPERLINK("https://leilaoonline.net/lote/detalhe/215022", "32937")</f>
      </c>
      <c r="B241" s="4" t="s">
        <f>=HYPERLINK("https://leilaoonline.net/lote/detalhe/215022", " SUCATA ELÉTRICA; ELETRÔNICOS; LUMINÁRIA; MÁQUINA DE SOLDA; BETONEIRA E 2 CARCAÇAS DE MOTOR. - S/FR. - LOC. SANTA CÂNDIDA")</f>
      </c>
      <c r="C241" s="4" t="inlineStr">
        <is>
          <t>Não vendido</t>
        </is>
      </c>
      <c r="D241" s="4" t="inlineStr">
        <is>
          <t>26</t>
        </is>
      </c>
      <c r="E241" s="5" t="inlineStr">
        <is>
          <t>4.200,00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=HYPERLINK("https://leilaoonline.net/lote/detalhe/214995", "32938")</f>
      </c>
      <c r="B242" s="4" t="s">
        <f>=HYPERLINK("https://leilaoonline.net/lote/detalhe/214995", " CARREGADEIRA MOTO CANA, ANO 2010 - FR70687. - LOC. DIAMANTE")</f>
      </c>
      <c r="C242" s="4" t="inlineStr">
        <is>
          <t>Não vendido</t>
        </is>
      </c>
      <c r="D242" s="4" t="inlineStr">
        <is>
          <t>86</t>
        </is>
      </c>
      <c r="E242" s="5" t="inlineStr">
        <is>
          <t>120.000,00</t>
        </is>
      </c>
      <c r="F242" s="4" t="inlineStr">
        <is>
          <t>2000.00</t>
        </is>
      </c>
    </row>
    <row collapsed="false" customFormat="false" customHeight="false" hidden="false" ht="12.1" outlineLevel="0" r="243">
      <c r="A243" s="5" t="s">
        <f>=HYPERLINK("https://leilaoonline.net/lote/detalhe/214997", "32939")</f>
      </c>
      <c r="B243" s="4" t="s">
        <f>=HYPERLINK("https://leilaoonline.net/lote/detalhe/214997", "COLHEDORA JOHN DEERE; ANO 2010. - FR50145. - LOC. DIAMANTE")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=HYPERLINK("https://leilaoonline.net/lote/detalhe/215023", "32940")</f>
      </c>
      <c r="B244" s="4" t="s">
        <f>=HYPERLINK("https://leilaoonline.net/lote/detalhe/215023", "(VEJA VÍDEO) CAMINHÃO VOLKSWAGEN 7.100; ANO 1998/1998; BRANCO. - FR96324. - LOC. DIAMANTE - (VENDA SOMENTE PARA COMPRADORES DO ESTADO DE SÃO PAULO)")</f>
      </c>
      <c r="C244" s="4" t="inlineStr">
        <is>
          <t>Vendido</t>
        </is>
      </c>
      <c r="D244" s="4" t="inlineStr">
        <is>
          <t>42</t>
        </is>
      </c>
      <c r="E244" s="5" t="inlineStr">
        <is>
          <t>77.000,00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=HYPERLINK("https://leilaoonline.net/lote/detalhe/215005", "32941")</f>
      </c>
      <c r="B245" s="4" t="s">
        <f>=HYPERLINK("https://leilaoonline.net/lote/detalhe/215005", "(VEJA VÍDEO) CAMINHÃO VOLKSWAGEN 8.120 EURO3; ANO 2010/2010; BRANCO. - FR96332. - LOC. DIAMANTE - (VENDA SOMENTE PARA COMPRADORES DO ESTADO DE SÃO PAULO)")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=HYPERLINK("https://leilaoonline.net/lote/detalhe/215021", "32942")</f>
      </c>
      <c r="B246" s="4" t="s">
        <f>=HYPERLINK("https://leilaoonline.net/lote/detalhe/215021", "REBOQUE RANDON RQ CA; ANO 2002/2002; AZUL. - FR81945. - LOC. DIAMANTE")</f>
      </c>
      <c r="C246" s="4" t="inlineStr">
        <is>
          <t>Lote retirado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=HYPERLINK("https://leilaoonline.net/lote/detalhe/215262", "32943")</f>
      </c>
      <c r="B247" s="4" t="s">
        <f>=HYPERLINK("https://leilaoonline.net/lote/detalhe/215262", " REBOQUE SOUFER CA 2E; ANO 2012/2012; CINZA. - FR22898. - LOC. JATAÍ")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=HYPERLINK("https://leilaoonline.net/lote/detalhe/215275", "32944")</f>
      </c>
      <c r="B248" s="4" t="s">
        <f>=HYPERLINK("https://leilaoonline.net/lote/detalhe/215275", " CAMINHÃO VOLKSWAGEN 26.220 EURO3 WORKER; ANO 2008/2009; BRANCO. - FR163108. - LOC. JATAÍ 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40.000,00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=HYPERLINK("https://leilaoonline.net/lote/detalhe/215260", "32945")</f>
      </c>
      <c r="B249" s="4" t="s">
        <f>=HYPERLINK("https://leilaoonline.net/lote/detalhe/215260", " CAMINHÃO VOLKSWAGEN 26.220 EURO3 WORKER; ANO 2008/2009; BRANCO. - FR163125. - LOC. JATAÍ 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40.000,00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=HYPERLINK("https://leilaoonline.net/lote/detalhe/215263", "32946")</f>
      </c>
      <c r="B250" s="4" t="s">
        <f>=HYPERLINK("https://leilaoonline.net/lote/detalhe/215263", " SEMI-REBOQUE RANDON SRBS IN; ANO 2011/2012; AZUL. - FR163809. - LOC. JATAÍ")</f>
      </c>
      <c r="C250" s="4" t="inlineStr">
        <is>
          <t>Vendido</t>
        </is>
      </c>
      <c r="D250" s="4" t="inlineStr">
        <is>
          <t>47</t>
        </is>
      </c>
      <c r="E250" s="5" t="inlineStr">
        <is>
          <t>66.000,00</t>
        </is>
      </c>
      <c r="F250" s="4" t="inlineStr">
        <is>
          <t>1500.00</t>
        </is>
      </c>
    </row>
    <row collapsed="false" customFormat="false" customHeight="false" hidden="false" ht="12.1" outlineLevel="0" r="251">
      <c r="A251" s="5" t="s">
        <f>=HYPERLINK("https://leilaoonline.net/lote/detalhe/215269", "32947")</f>
      </c>
      <c r="B251" s="4" t="s">
        <f>=HYPERLINK("https://leilaoonline.net/lote/detalhe/215269", "SEMI-REBOQUE VINHACA RANDON SRBS IN, ANO 2012/2012, AZUL. - FR56364 / DOLLY USICAMP (VENDA SEM DOC.) - FR164779 - LOC. JATAÍ")</f>
      </c>
      <c r="C251" s="4" t="inlineStr">
        <is>
          <t>Vendido</t>
        </is>
      </c>
      <c r="D251" s="4" t="inlineStr">
        <is>
          <t>45</t>
        </is>
      </c>
      <c r="E251" s="5" t="inlineStr">
        <is>
          <t>62.000,00</t>
        </is>
      </c>
      <c r="F251" s="4" t="inlineStr">
        <is>
          <t>1500.00</t>
        </is>
      </c>
    </row>
    <row collapsed="false" customFormat="false" customHeight="false" hidden="false" ht="12.1" outlineLevel="0" r="252">
      <c r="A252" s="5" t="s">
        <f>=HYPERLINK("https://leilaoonline.net/lote/detalhe/215276", "32948")</f>
      </c>
      <c r="B252" s="4" t="s">
        <f>=HYPERLINK("https://leilaoonline.net/lote/detalhe/215276", " SEMI-REBOQUE RANDON SRBS IN; ANO 2011/2012; AZUL - FR163805 / DOLLY, ANO 2009 (DOLLY VENDA SEM DOC.) - FR164796. - LOC. JATAÍ")</f>
      </c>
      <c r="C252" s="4" t="inlineStr">
        <is>
          <t>Vendido</t>
        </is>
      </c>
      <c r="D252" s="4" t="inlineStr">
        <is>
          <t>39</t>
        </is>
      </c>
      <c r="E252" s="5" t="inlineStr">
        <is>
          <t>54.500,00</t>
        </is>
      </c>
      <c r="F252" s="4" t="inlineStr">
        <is>
          <t>1500.00</t>
        </is>
      </c>
    </row>
    <row collapsed="false" customFormat="false" customHeight="false" hidden="false" ht="12.1" outlineLevel="0" r="253">
      <c r="A253" s="5" t="s">
        <f>=HYPERLINK("https://leilaoonline.net/lote/detalhe/215268", "32949")</f>
      </c>
      <c r="B253" s="4" t="s">
        <f>=HYPERLINK("https://leilaoonline.net/lote/detalhe/215268", " SEMI-REBOQUE RODOLINEA RODOTQ 2E; ANO 2013/2013; CINZA. - FR163822. - LOC. JATAÍ")</f>
      </c>
      <c r="C253" s="4" t="inlineStr">
        <is>
          <t>Não 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=HYPERLINK("https://leilaoonline.net/lote/detalhe/215277", "32950")</f>
      </c>
      <c r="B254" s="4" t="s">
        <f>=HYPERLINK("https://leilaoonline.net/lote/detalhe/215277", " SEMI-REBOQUE RODOLINEA RODOTQ 2E; ANO 2013/2013; CINZA. - FR163827. - LOC. JATAÍ")</f>
      </c>
      <c r="C254" s="4" t="inlineStr">
        <is>
          <t>Vendido</t>
        </is>
      </c>
      <c r="D254" s="4" t="inlineStr">
        <is>
          <t>28</t>
        </is>
      </c>
      <c r="E254" s="5" t="inlineStr">
        <is>
          <t>39.500,00</t>
        </is>
      </c>
      <c r="F254" s="4" t="inlineStr">
        <is>
          <t>1500.00</t>
        </is>
      </c>
    </row>
    <row collapsed="false" customFormat="false" customHeight="false" hidden="false" ht="12.1" outlineLevel="0" r="255">
      <c r="A255" s="5" t="s">
        <f>=HYPERLINK("https://leilaoonline.net/lote/detalhe/215274", "32951")</f>
      </c>
      <c r="B255" s="4" t="s">
        <f>=HYPERLINK("https://leilaoonline.net/lote/detalhe/215274", " SEMI-REBOQUE RODOLINEA RODOTQ 2E; ANO 2013/2013; CINZA. - FR112634. - LOC. JATAÍ")</f>
      </c>
      <c r="C255" s="4" t="inlineStr">
        <is>
          <t>Vendido</t>
        </is>
      </c>
      <c r="D255" s="4" t="inlineStr">
        <is>
          <t>19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=HYPERLINK("https://leilaoonline.net/lote/detalhe/215267", "32952")</f>
      </c>
      <c r="B256" s="4" t="s">
        <f>=HYPERLINK("https://leilaoonline.net/lote/detalhe/215267", " SEMI-REBOQUE RANDONSP SRBS IN; ANO 2010/2010; AZUL. - FR66159. - LOC. JATAÍ")</f>
      </c>
      <c r="C256" s="4" t="inlineStr">
        <is>
          <t>Vendido</t>
        </is>
      </c>
      <c r="D256" s="4" t="inlineStr">
        <is>
          <t>9</t>
        </is>
      </c>
      <c r="E256" s="5" t="inlineStr">
        <is>
          <t>18.000,00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=HYPERLINK("https://leilaoonline.net/lote/detalhe/215259", "32953")</f>
      </c>
      <c r="B257" s="4" t="s">
        <f>=HYPERLINK("https://leilaoonline.net/lote/detalhe/215259", " CAMINHÃO VOLKSWAGEN 26.280 CRM 6X4; ANO 2012/2013; BRANCO. - FR163200. - LOC. JATAÍ 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=HYPERLINK("https://leilaoonline.net/lote/detalhe/215272", "32954")</f>
      </c>
      <c r="B258" s="4" t="s">
        <f>=HYPERLINK("https://leilaoonline.net/lote/detalhe/215272", " PREPARADOR DE SOLO PENTA LIPOW; ANO 2012. - FR103496. - LOC. JATAÍ")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1.100,00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=HYPERLINK("https://leilaoonline.net/lote/detalhe/215271", "32955")</f>
      </c>
      <c r="B259" s="4" t="s">
        <f>=HYPERLINK("https://leilaoonline.net/lote/detalhe/215271", " ENXADA ROTATIVA HOWARD ENGUNERING LIMITED; ANO 2014. - FR84719. - LOC. JATAÍ")</f>
      </c>
      <c r="C259" s="4" t="inlineStr">
        <is>
          <t>Não vendido</t>
        </is>
      </c>
      <c r="D259" s="4" t="inlineStr">
        <is>
          <t>12</t>
        </is>
      </c>
      <c r="E259" s="5" t="inlineStr">
        <is>
          <t>2.900,00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=HYPERLINK("https://leilaoonline.net/lote/detalhe/215265", "32956")</f>
      </c>
      <c r="B260" s="4" t="s">
        <f>=HYPERLINK("https://leilaoonline.net/lote/detalhe/215265", " GRADE LEVE; ANO 2008. - FR165236. - JATAÍ")</f>
      </c>
      <c r="C260" s="4" t="inlineStr">
        <is>
          <t>Vendido</t>
        </is>
      </c>
      <c r="D260" s="4" t="inlineStr">
        <is>
          <t>47</t>
        </is>
      </c>
      <c r="E260" s="5" t="inlineStr">
        <is>
          <t>20.100,00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=HYPERLINK("https://leilaoonline.net/lote/detalhe/215270", "32957")</f>
      </c>
      <c r="B261" s="4" t="s">
        <f>=HYPERLINK("https://leilaoonline.net/lote/detalhe/215270", " GRADE LEVE; ANO 2007. - FR165224. - LOC. JATAÍ")</f>
      </c>
      <c r="C261" s="4" t="inlineStr">
        <is>
          <t>Vendido</t>
        </is>
      </c>
      <c r="D261" s="4" t="inlineStr">
        <is>
          <t>4</t>
        </is>
      </c>
      <c r="E261" s="5" t="inlineStr">
        <is>
          <t>1.600,00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=HYPERLINK("https://leilaoonline.net/lote/detalhe/215264", "32958")</f>
      </c>
      <c r="B262" s="4" t="s">
        <f>=HYPERLINK("https://leilaoonline.net/lote/detalhe/215264", " GRADE INTERMEDIARIA BALDAN; ANO 2009. - FR165227. - LOC. JATAÍ")</f>
      </c>
      <c r="C262" s="4" t="inlineStr">
        <is>
          <t>Vendido</t>
        </is>
      </c>
      <c r="D262" s="4" t="inlineStr">
        <is>
          <t>30</t>
        </is>
      </c>
      <c r="E262" s="5" t="inlineStr">
        <is>
          <t>10.300,00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=HYPERLINK("https://leilaoonline.net/lote/detalhe/215273", "32959")</f>
      </c>
      <c r="B263" s="4" t="s">
        <f>=HYPERLINK("https://leilaoonline.net/lote/detalhe/215273", " GRADE INTERMEDIARIA BALDAN; ANO 2009. - FR165239. - LOC. JATAÍ")</f>
      </c>
      <c r="C263" s="4" t="inlineStr">
        <is>
          <t>Vendido</t>
        </is>
      </c>
      <c r="D263" s="4" t="inlineStr">
        <is>
          <t>81</t>
        </is>
      </c>
      <c r="E263" s="5" t="inlineStr">
        <is>
          <t>32.600,00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=HYPERLINK("https://leilaoonline.net/lote/detalhe/215261", "32960")</f>
      </c>
      <c r="B264" s="4" t="s">
        <f>=HYPERLINK("https://leilaoonline.net/lote/detalhe/215261", " GRADE PESADA; ANO 2007. - FR165222. - LOC. JATAÍ")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9.800,00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=HYPERLINK("https://leilaoonline.net/lote/detalhe/215266", "32961")</f>
      </c>
      <c r="B265" s="4" t="s">
        <f>=HYPERLINK("https://leilaoonline.net/lote/detalhe/215266", " SUCATA DE TRATOR VALTRA. - S/FR. - LOC. JATAÍ")</f>
      </c>
      <c r="C265" s="4" t="inlineStr">
        <is>
          <t>Vendido</t>
        </is>
      </c>
      <c r="D265" s="4" t="inlineStr">
        <is>
          <t>105</t>
        </is>
      </c>
      <c r="E265" s="5" t="inlineStr">
        <is>
          <t>69.000,00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=HYPERLINK("https://leilaoonline.net/lote/detalhe/216577", "32962")</f>
      </c>
      <c r="B266" s="4" t="s">
        <f>=HYPERLINK("https://leilaoonline.net/lote/detalhe/216577", " HIDROROLL. - FR14003027. - LOC. SANTA ELISA")</f>
      </c>
      <c r="C266" s="4" t="inlineStr">
        <is>
          <t>Não vendido</t>
        </is>
      </c>
      <c r="D266" s="4" t="inlineStr">
        <is>
          <t>31</t>
        </is>
      </c>
      <c r="E266" s="5" t="inlineStr">
        <is>
          <t>26.500,00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=HYPERLINK("https://leilaoonline.net/lote/detalhe/216588", "32963")</f>
      </c>
      <c r="B267" s="4" t="s">
        <f>=HYPERLINK("https://leilaoonline.net/lote/detalhe/216588", " HIDROROLL. - FR14003026. - LOC. SANTA ELISA")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20.500,00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=HYPERLINK("https://leilaoonline.net/lote/detalhe/216586", "32964")</f>
      </c>
      <c r="B268" s="4" t="s">
        <f>=HYPERLINK("https://leilaoonline.net/lote/detalhe/216586", " 2 CARRETAS DE TRANSPORTE DE TUBOS; 1 CARRETA SERVIÇOS DIVERSOS. - FR1003132/FR14003247/FR14003601. - LOC. SANTA ELISA")</f>
      </c>
      <c r="C268" s="4" t="inlineStr">
        <is>
          <t>Não vendido</t>
        </is>
      </c>
      <c r="D268" s="4" t="inlineStr">
        <is>
          <t>4</t>
        </is>
      </c>
      <c r="E268" s="5" t="inlineStr">
        <is>
          <t>3.300,00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=HYPERLINK("https://leilaoonline.net/lote/detalhe/216589", "32965")</f>
      </c>
      <c r="B269" s="4" t="s">
        <f>=HYPERLINK("https://leilaoonline.net/lote/detalhe/216589", "REBOQUE RANDON RQ CA; ANO 2004/2004; AZUL. - FR14004257. - LOC. VALE DO ROSÁRIO")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17.000,00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=HYPERLINK("https://leilaoonline.net/lote/detalhe/216561", "32966")</f>
      </c>
      <c r="B270" s="4" t="s">
        <f>=HYPERLINK("https://leilaoonline.net/lote/detalhe/216561", " MOTOBOMBA OM 447; ANO 2007. - FR11005021. - LOC. VALE DO ROSÁRIO")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16.500,00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=HYPERLINK("https://leilaoonline.net/lote/detalhe/216555", "32967")</f>
      </c>
      <c r="B271" s="4" t="s">
        <f>=HYPERLINK("https://leilaoonline.net/lote/detalhe/216555", " MOTOBOMBA OM 447; ANO 2007. - FR11005020. - LOC. VALE DO RÓSARIO")</f>
      </c>
      <c r="C271" s="4" t="inlineStr">
        <is>
          <t>Vendido</t>
        </is>
      </c>
      <c r="D271" s="4" t="inlineStr">
        <is>
          <t>13</t>
        </is>
      </c>
      <c r="E271" s="5" t="inlineStr">
        <is>
          <t>11.000,00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=HYPERLINK("https://leilaoonline.net/lote/detalhe/216563", "32968")</f>
      </c>
      <c r="B272" s="4" t="s">
        <f>=HYPERLINK("https://leilaoonline.net/lote/detalhe/216563", " MOTOBOMBA OM 447; ANO 2011. - FR11005050. - LOC. VALE DO ROSÁRIO")</f>
      </c>
      <c r="C272" s="4" t="inlineStr">
        <is>
          <t>Vendido</t>
        </is>
      </c>
      <c r="D272" s="4" t="inlineStr">
        <is>
          <t>25</t>
        </is>
      </c>
      <c r="E272" s="5" t="inlineStr">
        <is>
          <t>17.000,00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=HYPERLINK("https://leilaoonline.net/lote/detalhe/216568", "32969")</f>
      </c>
      <c r="B273" s="4" t="s">
        <f>=HYPERLINK("https://leilaoonline.net/lote/detalhe/216568", " MOTOBOMBA MWM D229; ANO 2000. - FR11005034. - LOC. VALE DO ROSÁRIO")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14.500,00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=HYPERLINK("https://leilaoonline.net/lote/detalhe/216582", "32970")</f>
      </c>
      <c r="B274" s="4" t="s">
        <f>=HYPERLINK("https://leilaoonline.net/lote/detalhe/216582", " MOTOBOMBA MWM D229; ANO 2010. - FR11005038. - LOC. VALE DO ROSÁRIO")</f>
      </c>
      <c r="C274" s="4" t="inlineStr">
        <is>
          <t>Vendido</t>
        </is>
      </c>
      <c r="D274" s="4" t="inlineStr">
        <is>
          <t>25</t>
        </is>
      </c>
      <c r="E274" s="5" t="inlineStr">
        <is>
          <t>17.000,00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=HYPERLINK("https://leilaoonline.net/lote/detalhe/216566", "32971")</f>
      </c>
      <c r="B275" s="4" t="s">
        <f>=HYPERLINK("https://leilaoonline.net/lote/detalhe/216566", " CAMINHÃO VOLKSWAGEN 22.220 EURO3 WORKER; ANO 2006/2007; BRANCO. - FR11001097. - LOC. VALE DO ROSÁRIO (VENDA SOMENTE PARA COMPRADORES DO ESTADO DE SÃO PAULO)")</f>
      </c>
      <c r="C275" s="4" t="inlineStr">
        <is>
          <t>Não vendido</t>
        </is>
      </c>
      <c r="D275" s="4" t="inlineStr">
        <is>
          <t>69</t>
        </is>
      </c>
      <c r="E275" s="5" t="inlineStr">
        <is>
          <t>93.000,00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=HYPERLINK("https://leilaoonline.net/lote/detalhe/216554", "32972")</f>
      </c>
      <c r="B276" s="4" t="s">
        <f>=HYPERLINK("https://leilaoonline.net/lote/detalhe/216554", " CAMINHÃO VOLVO NL10 320 4X2T EDC; ANO 1997/1997; BRANCO. - FR11001021. - LOC. VALE DO ROSÁRIO (VENDA SOMENTE PARA COMPRADORES DO ESTADO DE SÃO PAULO)")</f>
      </c>
      <c r="C276" s="4" t="inlineStr">
        <is>
          <t>Não vendido</t>
        </is>
      </c>
      <c r="D276" s="4" t="inlineStr">
        <is>
          <t>4</t>
        </is>
      </c>
      <c r="E276" s="5" t="inlineStr">
        <is>
          <t>23.000,00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=HYPERLINK("https://leilaoonline.net/lote/detalhe/216567", "32973")</f>
      </c>
      <c r="B277" s="4" t="s">
        <f>=HYPERLINK("https://leilaoonline.net/lote/detalhe/216567", " MOTOBOMBA OM 447; ANO 2000. - FR11005035. - LOC. VALE DO ROSÁRIO")</f>
      </c>
      <c r="C277" s="4" t="inlineStr">
        <is>
          <t>Vendido</t>
        </is>
      </c>
      <c r="D277" s="4" t="inlineStr">
        <is>
          <t>25</t>
        </is>
      </c>
      <c r="E277" s="5" t="inlineStr">
        <is>
          <t>17.000,00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=HYPERLINK("https://leilaoonline.net/lote/detalhe/216565", "32974")</f>
      </c>
      <c r="B278" s="4" t="s">
        <f>=HYPERLINK("https://leilaoonline.net/lote/detalhe/216565", " CARROCEIRA TANQUE GASCOM. - S/FR. - LOC. VALE DO ROSÁRIO")</f>
      </c>
      <c r="C278" s="4" t="inlineStr">
        <is>
          <t>Não vendido</t>
        </is>
      </c>
      <c r="D278" s="4" t="inlineStr">
        <is>
          <t>40</t>
        </is>
      </c>
      <c r="E278" s="5" t="inlineStr">
        <is>
          <t>28.500,00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=HYPERLINK("https://leilaoonline.net/lote/detalhe/216573", "32975")</f>
      </c>
      <c r="B279" s="4" t="s">
        <f>=HYPERLINK("https://leilaoonline.net/lote/detalhe/216573", " APROX. 9 TRANSFORMADORES DIVERSOS; VEJA DESCRITIVO DE ITENS. - LOC. JUNQUEIRA")</f>
      </c>
      <c r="C279" s="4" t="inlineStr">
        <is>
          <t>Vendido</t>
        </is>
      </c>
      <c r="D279" s="4" t="inlineStr">
        <is>
          <t>58</t>
        </is>
      </c>
      <c r="E279" s="5" t="inlineStr">
        <is>
          <t>40.500,00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=HYPERLINK("https://leilaoonline.net/lote/detalhe/216552", "32976")</f>
      </c>
      <c r="B280" s="4" t="s">
        <f>=HYPERLINK("https://leilaoonline.net/lote/detalhe/216552", " APROX. 7 TURBINAS DIVERSAS ZANINI DIVERSAS; VEJA DESCRITIVO DE ITENS. - LOC. JUNQUEIRA")</f>
      </c>
      <c r="C280" s="4" t="inlineStr">
        <is>
          <t>Não vendido</t>
        </is>
      </c>
      <c r="D280" s="4" t="inlineStr">
        <is>
          <t>19</t>
        </is>
      </c>
      <c r="E280" s="5" t="inlineStr">
        <is>
          <t>16.500,00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=HYPERLINK("https://leilaoonline.net/lote/detalhe/216578", "32977")</f>
      </c>
      <c r="B281" s="4" t="s">
        <f>=HYPERLINK("https://leilaoonline.net/lote/detalhe/216578", " TANQUE VERTICAL DE ARMAZENAGEM DE SODA CAÚSTICA. (FIBRA) - S/FR. - LOC. JUNQUEIRA ")</f>
      </c>
      <c r="C281" s="4" t="inlineStr">
        <is>
          <t>Não vendido</t>
        </is>
      </c>
      <c r="D281" s="4" t="inlineStr">
        <is>
          <t>3</t>
        </is>
      </c>
      <c r="E281" s="5" t="inlineStr">
        <is>
          <t>700,00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=HYPERLINK("https://leilaoonline.net/lote/detalhe/216559", "32983")</f>
      </c>
      <c r="B282" s="4" t="s">
        <f>=HYPERLINK("https://leilaoonline.net/lote/detalhe/216559", " APROX. 120 RODAS DIVERSAS. - S/FR. - LOC. JUNQUEIRA")</f>
      </c>
      <c r="C282" s="4" t="inlineStr">
        <is>
          <t>Vendido</t>
        </is>
      </c>
      <c r="D282" s="4" t="inlineStr">
        <is>
          <t>48</t>
        </is>
      </c>
      <c r="E282" s="5" t="inlineStr">
        <is>
          <t>9.300,00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=HYPERLINK("https://leilaoonline.net/lote/detalhe/216583", "32988")</f>
      </c>
      <c r="B283" s="4" t="s">
        <f>=HYPERLINK("https://leilaoonline.net/lote/detalhe/216583", " CARREGADEIRA DE CANA VALTRA; MOD. BM100; ANO 2013. - FR360745. - LOC. JUNQUEIRA")</f>
      </c>
      <c r="C283" s="4" t="inlineStr">
        <is>
          <t>Vendido</t>
        </is>
      </c>
      <c r="D283" s="4" t="inlineStr">
        <is>
          <t>140</t>
        </is>
      </c>
      <c r="E283" s="5" t="inlineStr">
        <is>
          <t>173.500,00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=HYPERLINK("https://leilaoonline.net/lote/detalhe/216553", "32993")</f>
      </c>
      <c r="B284" s="4" t="s">
        <f>=HYPERLINK("https://leilaoonline.net/lote/detalhe/216553", " TRATOR JHON DEERE; 7225J. (QUEIMADO) - S/FR. - LOC. JUNQUEIRA")</f>
      </c>
      <c r="C284" s="4" t="inlineStr">
        <is>
          <t>Vendido</t>
        </is>
      </c>
      <c r="D284" s="4" t="inlineStr">
        <is>
          <t>22</t>
        </is>
      </c>
      <c r="E284" s="5" t="inlineStr">
        <is>
          <t>36.000,00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=HYPERLINK("https://leilaoonline.net/lote/detalhe/216564", "32999")</f>
      </c>
      <c r="B285" s="4" t="s">
        <f>=HYPERLINK("https://leilaoonline.net/lote/detalhe/216564", " LAVADORA DE ROUPA LAVEXMIUL; MOD. EPS-15; CENTRIFUGA SECAR ROUPA E SECADORA. - S/FR. - LOC. JUNQUEIRA")</f>
      </c>
      <c r="C285" s="4" t="inlineStr">
        <is>
          <t>Não vendido</t>
        </is>
      </c>
      <c r="D285" s="4" t="inlineStr">
        <is>
          <t>25</t>
        </is>
      </c>
      <c r="E285" s="5" t="inlineStr">
        <is>
          <t>6.400,00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=HYPERLINK("https://leilaoonline.net/lote/detalhe/215152", "33000")</f>
      </c>
      <c r="B286" s="4" t="s">
        <f>=HYPERLINK("https://leilaoonline.net/lote/detalhe/215152", "REBOQUE RODOLINEA REBCAR 2E; ANO 2007/2007; AZUL. - FR8006067. - LOC. LAGOA DA PRATA")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12.000,00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=HYPERLINK("https://leilaoonline.net/lote/detalhe/215189", "33006")</f>
      </c>
      <c r="B287" s="4" t="s">
        <f>=HYPERLINK("https://leilaoonline.net/lote/detalhe/215189", "SEMI-REBOQUE RANDON SR CA; ANO 1999/1999; VERDE. - FR10004045. - LOC. LAGOA DA PRATA")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=HYPERLINK("https://leilaoonline.net/lote/detalhe/215161", "33007")</f>
      </c>
      <c r="B288" s="4" t="s">
        <f>=HYPERLINK("https://leilaoonline.net/lote/detalhe/215161", "SEMI-REBOQUE RANDON SR CA; ANO 1999/1999; VERDE. - FR11004177. - LOC. LAGOA DA PRATA")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=HYPERLINK("https://leilaoonline.net/lote/detalhe/215179", "33010")</f>
      </c>
      <c r="B289" s="4" t="s">
        <f>=HYPERLINK("https://leilaoonline.net/lote/detalhe/215179", "SEMI REBOQUE RANDON SR CN HI; ANO 1997/1998; VERDE. - FR10004168. - LOC. LAGOA DA PRATA")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10.000,00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=HYPERLINK("https://leilaoonline.net/lote/detalhe/215149", "33011")</f>
      </c>
      <c r="B290" s="4" t="s">
        <f>=HYPERLINK("https://leilaoonline.net/lote/detalhe/215149", "SEMI REBOQUE ANTONINI; ANO 1994/1994; AZUL. - FR14004353. - LOC. LAGOA DA PRATA")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=HYPERLINK("https://leilaoonline.net/lote/detalhe/215153", "33013")</f>
      </c>
      <c r="B291" s="4" t="s">
        <f>=HYPERLINK("https://leilaoonline.net/lote/detalhe/215153", "SEMI REBOQUE RANDON SR CN HI; ANO 1997/1998; VERDE. - FR11004008. - LOC. LAGOA DA PRATA")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=HYPERLINK("https://leilaoonline.net/lote/detalhe/215156", "33014")</f>
      </c>
      <c r="B292" s="4" t="s">
        <f>=HYPERLINK("https://leilaoonline.net/lote/detalhe/215156", "SEMI REBOQUE RANDON SR CN HI; ANO 1997/1998; VERDE. - FR10004036. - LOC. LAGOA DA PRATA")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=HYPERLINK("https://leilaoonline.net/lote/detalhe/215188", "33015")</f>
      </c>
      <c r="B293" s="4" t="s">
        <f>=HYPERLINK("https://leilaoonline.net/lote/detalhe/215188", " REBOQUE RODOLINEA REBCAR 2E; ANO 2007/2007; AZUL. - FR8006066. - LOC. LAGOA DA PRATA")</f>
      </c>
      <c r="C293" s="4" t="inlineStr">
        <is>
          <t>Vendido</t>
        </is>
      </c>
      <c r="D293" s="4" t="inlineStr">
        <is>
          <t>4</t>
        </is>
      </c>
      <c r="E293" s="5" t="inlineStr">
        <is>
          <t>13.000,00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=HYPERLINK("https://leilaoonline.net/lote/detalhe/215171", "33016")</f>
      </c>
      <c r="B294" s="4" t="s">
        <f>=HYPERLINK("https://leilaoonline.net/lote/detalhe/215171", " ENFARDADEIRA MCA VALTRA; MOD. CHALLENGER 2270. - FR5003075. - LOC. LAGOA DA PRATA")</f>
      </c>
      <c r="C294" s="4" t="inlineStr">
        <is>
          <t>Vendido</t>
        </is>
      </c>
      <c r="D294" s="4" t="inlineStr">
        <is>
          <t>3</t>
        </is>
      </c>
      <c r="E294" s="5" t="inlineStr">
        <is>
          <t>200.000,00</t>
        </is>
      </c>
      <c r="F294" s="4" t="inlineStr">
        <is>
          <t>5000.00</t>
        </is>
      </c>
    </row>
    <row collapsed="false" customFormat="false" customHeight="false" hidden="false" ht="12.1" outlineLevel="0" r="295">
      <c r="A295" s="5" t="s">
        <f>=HYPERLINK("https://leilaoonline.net/lote/detalhe/215162", "33017")</f>
      </c>
      <c r="B295" s="4" t="s">
        <f>=HYPERLINK("https://leilaoonline.net/lote/detalhe/215162", " ENFARDADEIRA MCA VALTRA; MOD. CHALLENGER 2270. - FR5003074. - LOC. LAGOA DA PRATA")</f>
      </c>
      <c r="C295" s="4" t="inlineStr">
        <is>
          <t>Não vendido</t>
        </is>
      </c>
      <c r="D295" s="4" t="inlineStr">
        <is>
          <t>11</t>
        </is>
      </c>
      <c r="E295" s="5" t="inlineStr">
        <is>
          <t>20.000,00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=HYPERLINK("https://leilaoonline.net/lote/detalhe/215197", "33018")</f>
      </c>
      <c r="B296" s="4" t="s">
        <f>=HYPERLINK("https://leilaoonline.net/lote/detalhe/215197", "TRANSBORDO SANTAL VT10; ANO 2011. - FR8003099. - LOC. LAGOA DA PRATA")</f>
      </c>
      <c r="C296" s="4" t="inlineStr">
        <is>
          <t>Vendido</t>
        </is>
      </c>
      <c r="D296" s="4" t="inlineStr">
        <is>
          <t>3</t>
        </is>
      </c>
      <c r="E296" s="5" t="inlineStr">
        <is>
          <t>12.000,00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=HYPERLINK("https://leilaoonline.net/lote/detalhe/215196", "33019")</f>
      </c>
      <c r="B297" s="4" t="s">
        <f>=HYPERLINK("https://leilaoonline.net/lote/detalhe/215196", " CARRETA DISTRIBUIDORA DE TORTA. - FR8003110. - LOC. LAGOA DA PRATA")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3.000,00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=HYPERLINK("https://leilaoonline.net/lote/detalhe/215163", "33020")</f>
      </c>
      <c r="B298" s="4" t="s">
        <f>=HYPERLINK("https://leilaoonline.net/lote/detalhe/215163", " ENLEIRADOR. - FR5003076. - LOC. LAGOA DA PRATA")</f>
      </c>
      <c r="C298" s="4" t="inlineStr">
        <is>
          <t>Não vendido</t>
        </is>
      </c>
      <c r="D298" s="4" t="inlineStr">
        <is>
          <t>1</t>
        </is>
      </c>
      <c r="E298" s="5" t="inlineStr">
        <is>
          <t>1.000,00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=HYPERLINK("https://leilaoonline.net/lote/detalhe/215158", "33021")</f>
      </c>
      <c r="B299" s="4" t="s">
        <f>=HYPERLINK("https://leilaoonline.net/lote/detalhe/215158", " REBOQUE CBRASIL TUPA 500; ANO 2015/2015; VERDE. (CARRETA DE SERVIÇOS GERAIS) - FR8003200. - LOC. LAGOA DA PRATA")</f>
      </c>
      <c r="C299" s="4" t="inlineStr">
        <is>
          <t>Vendido</t>
        </is>
      </c>
      <c r="D299" s="4" t="inlineStr">
        <is>
          <t>3</t>
        </is>
      </c>
      <c r="E299" s="5" t="inlineStr">
        <is>
          <t>1.500,00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=HYPERLINK("https://leilaoonline.net/lote/detalhe/215195", "33022")</f>
      </c>
      <c r="B300" s="4" t="s">
        <f>=HYPERLINK("https://leilaoonline.net/lote/detalhe/215195", " REBOQUE CBRASIL TUPA 500; ANO 2015/2015; VERDE. (CARRETA DE SERVIÇOS GERAIS) - FR8003198. - LOC. LAGOA DA PRATA")</f>
      </c>
      <c r="C300" s="4" t="inlineStr">
        <is>
          <t>Não vendido</t>
        </is>
      </c>
      <c r="D300" s="4" t="inlineStr">
        <is>
          <t>9</t>
        </is>
      </c>
      <c r="E300" s="5" t="inlineStr">
        <is>
          <t>1.500,00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=HYPERLINK("https://leilaoonline.net/lote/detalhe/215200", "33023")</f>
      </c>
      <c r="B301" s="4" t="s">
        <f>=HYPERLINK("https://leilaoonline.net/lote/detalhe/215200", " REBOQUE CBRASIL TUPA 500; ANO 2015/2015; VERDE. (CARRETA DE SERVIÇOS GERAIS) - FR8003199. - LOC. LAGOA DA PRATA")</f>
      </c>
      <c r="C301" s="4" t="inlineStr">
        <is>
          <t>Não vendido</t>
        </is>
      </c>
      <c r="D301" s="4" t="inlineStr">
        <is>
          <t>10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=HYPERLINK("https://leilaoonline.net/lote/detalhe/215187", "33024")</f>
      </c>
      <c r="B302" s="4" t="s">
        <f>=HYPERLINK("https://leilaoonline.net/lote/detalhe/215187", " CARRETA / ACUMULADOR DE FARDO MCA NEW HOLLAND. - FR5003077. - LOC. LAGOA DA PRATA")</f>
      </c>
      <c r="C302" s="4" t="inlineStr">
        <is>
          <t>Não vendido</t>
        </is>
      </c>
      <c r="D302" s="4" t="inlineStr">
        <is>
          <t>14</t>
        </is>
      </c>
      <c r="E302" s="5" t="inlineStr">
        <is>
          <t>5.650,00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=HYPERLINK("https://leilaoonline.net/lote/detalhe/215184", "33025")</f>
      </c>
      <c r="B303" s="4" t="s">
        <f>=HYPERLINK("https://leilaoonline.net/lote/detalhe/215184", " MISTURADOR CASALE ROTORMIX 200. - MST-LP-0001. - LOC. LAGOA DA PRATA")</f>
      </c>
      <c r="C303" s="4" t="inlineStr">
        <is>
          <t>Vendido</t>
        </is>
      </c>
      <c r="D303" s="4" t="inlineStr">
        <is>
          <t>55</t>
        </is>
      </c>
      <c r="E303" s="5" t="inlineStr">
        <is>
          <t>83.000,00</t>
        </is>
      </c>
      <c r="F303" s="4" t="inlineStr">
        <is>
          <t>2000.00</t>
        </is>
      </c>
    </row>
    <row collapsed="false" customFormat="false" customHeight="false" hidden="false" ht="12.1" outlineLevel="0" r="304">
      <c r="A304" s="5" t="s">
        <f>=HYPERLINK("https://leilaoonline.net/lote/detalhe/215194", "33026")</f>
      </c>
      <c r="B304" s="4" t="s">
        <f>=HYPERLINK("https://leilaoonline.net/lote/detalhe/215194", " SILO. - SAI-LP-0008. - LOC. LAGOA DA PRATA")</f>
      </c>
      <c r="C304" s="4" t="inlineStr">
        <is>
          <t>Não vendido</t>
        </is>
      </c>
      <c r="D304" s="4" t="inlineStr">
        <is>
          <t>53</t>
        </is>
      </c>
      <c r="E304" s="5" t="inlineStr">
        <is>
          <t>31.600,00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=HYPERLINK("https://leilaoonline.net/lote/detalhe/215154", "33027")</f>
      </c>
      <c r="B305" s="4" t="s">
        <f>=HYPERLINK("https://leilaoonline.net/lote/detalhe/215154", " GUILHOTINA NEWTON CAP 8X2050mm. - LDC287. - LOC. LAGOA DA PRATA")</f>
      </c>
      <c r="C305" s="4" t="inlineStr">
        <is>
          <t>Vendido</t>
        </is>
      </c>
      <c r="D305" s="4" t="inlineStr">
        <is>
          <t>47</t>
        </is>
      </c>
      <c r="E305" s="5" t="inlineStr">
        <is>
          <t>20.600,00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=HYPERLINK("https://leilaoonline.net/lote/detalhe/215193", "33028")</f>
      </c>
      <c r="B306" s="4" t="s">
        <f>=HYPERLINK("https://leilaoonline.net/lote/detalhe/215193", " CARROCERIA SANTAL. - FR289791. - LOC. LAGOA DA PRATA")</f>
      </c>
      <c r="C306" s="4" t="inlineStr">
        <is>
          <t>Vendido</t>
        </is>
      </c>
      <c r="D306" s="4" t="inlineStr">
        <is>
          <t>11</t>
        </is>
      </c>
      <c r="E306" s="5" t="inlineStr">
        <is>
          <t>10.000,00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=HYPERLINK("https://leilaoonline.net/lote/detalhe/215157", "33029")</f>
      </c>
      <c r="B307" s="4" t="s">
        <f>=HYPERLINK("https://leilaoonline.net/lote/detalhe/215157", "TRANSBORDO SERRANA; ANO 2001. - FR11003113. - LOC. LAGOA DA PRATA")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=HYPERLINK("https://leilaoonline.net/lote/detalhe/215201", "33030")</f>
      </c>
      <c r="B308" s="4" t="s">
        <f>=HYPERLINK("https://leilaoonline.net/lote/detalhe/215201", "TRANSBORDO SERRANA; ANO 2001. - FR11003124. - LOC. LAGOA DA PRATA")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=HYPERLINK("https://leilaoonline.net/lote/detalhe/215181", "33031")</f>
      </c>
      <c r="B309" s="4" t="s">
        <f>=HYPERLINK("https://leilaoonline.net/lote/detalhe/215181", " ROÇADEIRA HIDRÁULICA. - FR11003676. - LOC. LAGOA DA PRATA")</f>
      </c>
      <c r="C309" s="4" t="inlineStr">
        <is>
          <t>Vendido</t>
        </is>
      </c>
      <c r="D309" s="4" t="inlineStr">
        <is>
          <t>12</t>
        </is>
      </c>
      <c r="E309" s="5" t="inlineStr">
        <is>
          <t>3.800,00</t>
        </is>
      </c>
      <c r="F309" s="4" t="inlineStr">
        <is>
          <t>300.00</t>
        </is>
      </c>
    </row>
    <row collapsed="false" customFormat="false" customHeight="false" hidden="false" ht="12.1" outlineLevel="0" r="310">
      <c r="A310" s="5" t="s">
        <f>=HYPERLINK("https://leilaoonline.net/lote/detalhe/215178", "33032")</f>
      </c>
      <c r="B310" s="4" t="s">
        <f>=HYPERLINK("https://leilaoonline.net/lote/detalhe/215178", " CARROCERIA METALICA COM MUNCK. - FR289141/FR290473. - LOC. LAGOA DA PRATA")</f>
      </c>
      <c r="C310" s="4" t="inlineStr">
        <is>
          <t>Não vendido</t>
        </is>
      </c>
      <c r="D310" s="4" t="inlineStr">
        <is>
          <t>27</t>
        </is>
      </c>
      <c r="E310" s="5" t="inlineStr">
        <is>
          <t>13.600,00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=HYPERLINK("https://leilaoonline.net/lote/detalhe/215175", "33033")</f>
      </c>
      <c r="B311" s="4" t="s">
        <f>=HYPERLINK("https://leilaoonline.net/lote/detalhe/215175", " TERRACERADOR. - FR4003404. - LOC. LAGOA DA PRATA")</f>
      </c>
      <c r="C311" s="4" t="inlineStr">
        <is>
          <t>Vendido</t>
        </is>
      </c>
      <c r="D311" s="4" t="inlineStr">
        <is>
          <t>55</t>
        </is>
      </c>
      <c r="E311" s="5" t="inlineStr">
        <is>
          <t>22.600,00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=HYPERLINK("https://leilaoonline.net/lote/detalhe/215168", "33034")</f>
      </c>
      <c r="B312" s="4" t="s">
        <f>=HYPERLINK("https://leilaoonline.net/lote/detalhe/215168", " GRADE ARADORA CIVEMASA. - FR13003149. - LOC. LAGOA DA PRATA")</f>
      </c>
      <c r="C312" s="4" t="inlineStr">
        <is>
          <t>Vendido</t>
        </is>
      </c>
      <c r="D312" s="4" t="inlineStr">
        <is>
          <t>25</t>
        </is>
      </c>
      <c r="E312" s="5" t="inlineStr">
        <is>
          <t>10.600,00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=HYPERLINK("https://leilaoonline.net/lote/detalhe/215164", "33035")</f>
      </c>
      <c r="B313" s="4" t="s">
        <f>=HYPERLINK("https://leilaoonline.net/lote/detalhe/215164", " CARRETA DISTRIBUIDORA DE TORTA SPANDER. - FR513109. - LOC. LAGOA DA PRATA")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5.100,00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=HYPERLINK("https://leilaoonline.net/lote/detalhe/215167", "33036")</f>
      </c>
      <c r="B314" s="4" t="s">
        <f>=HYPERLINK("https://leilaoonline.net/lote/detalhe/215167", "PLANTADORA DE CANA AUTOMÁTICA DMB; ANO 2009. - FR513111. - LOC. LAGOA DA PRATA")</f>
      </c>
      <c r="C314" s="4" t="inlineStr">
        <is>
          <t>Não vendido</t>
        </is>
      </c>
      <c r="D314" s="4" t="inlineStr">
        <is>
          <t>3</t>
        </is>
      </c>
      <c r="E314" s="5" t="inlineStr">
        <is>
          <t>12.000,00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=HYPERLINK("https://leilaoonline.net/lote/detalhe/215159", "33037")</f>
      </c>
      <c r="B315" s="4" t="s">
        <f>=HYPERLINK("https://leilaoonline.net/lote/detalhe/215159", "PLANTADORA DE CANA AUTOMÁTICA DMB; ANO 2010. - FR513096. - LOC. LAGOA DA PRATA")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11.000,00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=HYPERLINK("https://leilaoonline.net/lote/detalhe/215186", "33038")</f>
      </c>
      <c r="B316" s="4" t="s">
        <f>=HYPERLINK("https://leilaoonline.net/lote/detalhe/215186", "PLANTADORA DE CANA DMB; ANO 2011. - FR8003103. - LOC. LAGOA DA PRATA")</f>
      </c>
      <c r="C316" s="4" t="inlineStr">
        <is>
          <t>Não vendido</t>
        </is>
      </c>
      <c r="D316" s="4" t="inlineStr">
        <is>
          <t>3</t>
        </is>
      </c>
      <c r="E316" s="5" t="inlineStr">
        <is>
          <t>12.000,00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=HYPERLINK("https://leilaoonline.net/lote/detalhe/215160", "33039")</f>
      </c>
      <c r="B317" s="4" t="s">
        <f>=HYPERLINK("https://leilaoonline.net/lote/detalhe/215160", " REBOQUE CBRASIL TUPY 500; ANO 2010/2010; AZUL. (CARRETA DE SERVIÇOS GERAIS) - FR514086. - LOC. LAGOA DA PRATA")</f>
      </c>
      <c r="C317" s="4" t="inlineStr">
        <is>
          <t>Vendido</t>
        </is>
      </c>
      <c r="D317" s="4" t="inlineStr">
        <is>
          <t>7</t>
        </is>
      </c>
      <c r="E317" s="5" t="inlineStr">
        <is>
          <t>2.100,00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=HYPERLINK("https://leilaoonline.net/lote/detalhe/215182", "33040")</f>
      </c>
      <c r="B318" s="4" t="s">
        <f>=HYPERLINK("https://leilaoonline.net/lote/detalhe/215182", " HIDRO ROLL METALMAG (ROLÃO) - FR8003088. - LOC. LAGOA DA PRATA")</f>
      </c>
      <c r="C318" s="4" t="inlineStr">
        <is>
          <t>Vendido</t>
        </is>
      </c>
      <c r="D318" s="4" t="inlineStr">
        <is>
          <t>45</t>
        </is>
      </c>
      <c r="E318" s="5" t="inlineStr">
        <is>
          <t>36.000,00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=HYPERLINK("https://leilaoonline.net/lote/detalhe/215176", "33041")</f>
      </c>
      <c r="B319" s="4" t="s">
        <f>=HYPERLINK("https://leilaoonline.net/lote/detalhe/215176", " HIDRO ROLL METALMAG (ROLÃO) - FR513081. - LOC. LAGOA DA PRATA")</f>
      </c>
      <c r="C319" s="4" t="inlineStr">
        <is>
          <t>Não vendido</t>
        </is>
      </c>
      <c r="D319" s="4" t="inlineStr">
        <is>
          <t>40</t>
        </is>
      </c>
      <c r="E319" s="5" t="inlineStr">
        <is>
          <t>34.000,00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=HYPERLINK("https://leilaoonline.net/lote/detalhe/215192", "33042")</f>
      </c>
      <c r="B320" s="4" t="s">
        <f>=HYPERLINK("https://leilaoonline.net/lote/detalhe/215192", " HIDRO ROLL METALMAG (ROLÃO) - FR513080. - LOC. LAGOA DA PRATA")</f>
      </c>
      <c r="C320" s="4" t="inlineStr">
        <is>
          <t>Vendido</t>
        </is>
      </c>
      <c r="D320" s="4" t="inlineStr">
        <is>
          <t>41</t>
        </is>
      </c>
      <c r="E320" s="5" t="inlineStr">
        <is>
          <t>36.500,00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=HYPERLINK("https://leilaoonline.net/lote/detalhe/215185", "33043")</f>
      </c>
      <c r="B321" s="4" t="s">
        <f>=HYPERLINK("https://leilaoonline.net/lote/detalhe/215185", " MOTO BOMBA MWM 6.12 TCA. - FR514018. - LOC. LAGOA DA PRATA")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6.000,00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=HYPERLINK("https://leilaoonline.net/lote/detalhe/215198", "33044")</f>
      </c>
      <c r="B322" s="4" t="s">
        <f>=HYPERLINK("https://leilaoonline.net/lote/detalhe/215198", " MOTO BOMBA MWM 6.12 TCA. - FR8005025. - LOC. LAGOA DA PRATA")</f>
      </c>
      <c r="C322" s="4" t="inlineStr">
        <is>
          <t>Vendido</t>
        </is>
      </c>
      <c r="D322" s="4" t="inlineStr">
        <is>
          <t>36</t>
        </is>
      </c>
      <c r="E322" s="5" t="inlineStr">
        <is>
          <t>24.500,00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=HYPERLINK("https://leilaoonline.net/lote/detalhe/215180", "33046")</f>
      </c>
      <c r="B323" s="4" t="s">
        <f>=HYPERLINK("https://leilaoonline.net/lote/detalhe/215180", " HIDRO ROLL METALMAG (ROLÃO) - FR513082. - LOC. LAGOA DA PRATA")</f>
      </c>
      <c r="C323" s="4" t="inlineStr">
        <is>
          <t>Não vendido</t>
        </is>
      </c>
      <c r="D323" s="4" t="inlineStr">
        <is>
          <t>4</t>
        </is>
      </c>
      <c r="E323" s="5" t="inlineStr">
        <is>
          <t>13.000,00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=HYPERLINK("https://leilaoonline.net/lote/detalhe/215166", "33047")</f>
      </c>
      <c r="B324" s="4" t="s">
        <f>=HYPERLINK("https://leilaoonline.net/lote/detalhe/215166", " HIDRO ROLL METALMAG (ROLÃO) - FR513078. - LOC. LAGOA DA PRATA")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10.000,00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=HYPERLINK("https://leilaoonline.net/lote/detalhe/215199", "33048")</f>
      </c>
      <c r="B325" s="4" t="s">
        <f>=HYPERLINK("https://leilaoonline.net/lote/detalhe/215199", " HIDRO ROLL METALMAG (ROLÃO) - FR8003089. - LOC. LAGOA DA PRATA")</f>
      </c>
      <c r="C325" s="4" t="inlineStr">
        <is>
          <t>Vendido</t>
        </is>
      </c>
      <c r="D325" s="4" t="inlineStr">
        <is>
          <t>8</t>
        </is>
      </c>
      <c r="E325" s="5" t="inlineStr">
        <is>
          <t>17.000,00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=HYPERLINK("https://leilaoonline.net/lote/detalhe/215173", "33049")</f>
      </c>
      <c r="B326" s="4" t="s">
        <f>=HYPERLINK("https://leilaoonline.net/lote/detalhe/215173", " HIDRO ROLL METALMAG (ROLÃO) - FR513077. - LOC. LAGOA DA PRATA")</f>
      </c>
      <c r="C326" s="4" t="inlineStr">
        <is>
          <t>Vendido</t>
        </is>
      </c>
      <c r="D326" s="4" t="inlineStr">
        <is>
          <t>4</t>
        </is>
      </c>
      <c r="E326" s="5" t="inlineStr">
        <is>
          <t>13.000,00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=HYPERLINK("https://leilaoonline.net/lote/detalhe/215165", "33050")</f>
      </c>
      <c r="B327" s="4" t="s">
        <f>=HYPERLINK("https://leilaoonline.net/lote/detalhe/215165", " HIDRO ROLL IRRIGABRASIL. - FR514050. - LOC. LAGOA DA PRATA")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5.000,00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=HYPERLINK("https://leilaoonline.net/lote/detalhe/215169", "33051")</f>
      </c>
      <c r="B328" s="4" t="s">
        <f>=HYPERLINK("https://leilaoonline.net/lote/detalhe/215169", " MOTO BOMBA MWM 6.12 TCA. - FR514013. - LOC. LAGOA DA PRATA")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5.000,00</t>
        </is>
      </c>
      <c r="F328" s="4" t="inlineStr">
        <is>
          <t>500.00</t>
        </is>
      </c>
    </row>
    <row collapsed="false" customFormat="false" customHeight="false" hidden="false" ht="12.1" outlineLevel="0" r="329">
      <c r="A329" s="5" t="s">
        <f>=HYPERLINK("https://leilaoonline.net/lote/detalhe/215191", "33052")</f>
      </c>
      <c r="B329" s="4" t="s">
        <f>=HYPERLINK("https://leilaoonline.net/lote/detalhe/215191", " MOTO BOMBA MWM 6.12 TCA. - FR514025. - LOC. LAGOA DA PRATA")</f>
      </c>
      <c r="C329" s="4" t="inlineStr">
        <is>
          <t>Vendido</t>
        </is>
      </c>
      <c r="D329" s="4" t="inlineStr">
        <is>
          <t>14</t>
        </is>
      </c>
      <c r="E329" s="5" t="inlineStr">
        <is>
          <t>11.500,00</t>
        </is>
      </c>
      <c r="F329" s="4" t="inlineStr">
        <is>
          <t>500.00</t>
        </is>
      </c>
    </row>
    <row collapsed="false" customFormat="false" customHeight="false" hidden="false" ht="12.1" outlineLevel="0" r="330">
      <c r="A330" s="5" t="s">
        <f>=HYPERLINK("https://leilaoonline.net/lote/detalhe/215183", "33053")</f>
      </c>
      <c r="B330" s="4" t="s">
        <f>=HYPERLINK("https://leilaoonline.net/lote/detalhe/215183", " MOTO BOMBA MWM D229/6. - FR8005020. - LOC. LAGOA DA PRATA")</f>
      </c>
      <c r="C330" s="4" t="inlineStr">
        <is>
          <t>Vendido</t>
        </is>
      </c>
      <c r="D330" s="4" t="inlineStr">
        <is>
          <t>13</t>
        </is>
      </c>
      <c r="E330" s="5" t="inlineStr">
        <is>
          <t>11.000,00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=HYPERLINK("https://leilaoonline.net/lote/detalhe/216022", "33054")</f>
      </c>
      <c r="B331" s="4" t="s">
        <f>=HYPERLINK("https://leilaoonline.net/lote/detalhe/216022", " AMBULÂNCIA MERCEDES BENZ 311 CDI SPRINTERF; ANO 2004/2004; BRANCA. - FR58101. - LOC. COSTA PINTO")</f>
      </c>
      <c r="C331" s="4" t="inlineStr">
        <is>
          <t>Vendido</t>
        </is>
      </c>
      <c r="D331" s="4" t="inlineStr">
        <is>
          <t>27</t>
        </is>
      </c>
      <c r="E331" s="5" t="inlineStr">
        <is>
          <t>41.000,00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=HYPERLINK("https://leilaoonline.net/lote/detalhe/216011", "33060")</f>
      </c>
      <c r="B332" s="4" t="s">
        <f>=HYPERLINK("https://leilaoonline.net/lote/detalhe/216011", " CARRETA DE TRANSPORTE DE TUBOS RAESA; ANO 2006. - FR67128. - LOC. BOM RETIRO 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2.400,00</t>
        </is>
      </c>
      <c r="F332" s="4" t="inlineStr">
        <is>
          <t>200.00</t>
        </is>
      </c>
    </row>
    <row collapsed="false" customFormat="false" customHeight="false" hidden="false" ht="12.1" outlineLevel="0" r="333">
      <c r="A333" s="5" t="s">
        <f>=HYPERLINK("https://leilaoonline.net/lote/detalhe/216012", "33061")</f>
      </c>
      <c r="B333" s="4" t="s">
        <f>=HYPERLINK("https://leilaoonline.net/lote/detalhe/216012", " CARRETA DE SERVIÇOS DIVERSOS; ANO 1999. - FR139803. - LOC BOM RETIRO")</f>
      </c>
      <c r="C333" s="4" t="inlineStr">
        <is>
          <t>Vendido</t>
        </is>
      </c>
      <c r="D333" s="4" t="inlineStr">
        <is>
          <t>9</t>
        </is>
      </c>
      <c r="E333" s="5" t="inlineStr">
        <is>
          <t>2.400,00</t>
        </is>
      </c>
      <c r="F333" s="4" t="inlineStr">
        <is>
          <t>200.00</t>
        </is>
      </c>
    </row>
    <row collapsed="false" customFormat="false" customHeight="false" hidden="false" ht="12.1" outlineLevel="0" r="334">
      <c r="A334" s="5" t="s">
        <f>=HYPERLINK("https://leilaoonline.net/lote/detalhe/216025", "33062")</f>
      </c>
      <c r="B334" s="4" t="s">
        <f>=HYPERLINK("https://leilaoonline.net/lote/detalhe/216025", " CARRETINHA SERVIÇOS GERAIS SANTA IZABEL; MOD. CBB 5000; ANO 2012. - S/FR. - LOC. BOM RETIRO")</f>
      </c>
      <c r="C334" s="4" t="inlineStr">
        <is>
          <t>Vendido</t>
        </is>
      </c>
      <c r="D334" s="4" t="inlineStr">
        <is>
          <t>31</t>
        </is>
      </c>
      <c r="E334" s="5" t="inlineStr">
        <is>
          <t>6.000,00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=HYPERLINK("https://leilaoonline.net/lote/detalhe/216008", "33063")</f>
      </c>
      <c r="B335" s="4" t="s">
        <f>=HYPERLINK("https://leilaoonline.net/lote/detalhe/216008", " CULTIVADOR 2 LINHAS CARDEROLI. - FR67182. - LOC. BOM RETIRO")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1.500,00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=HYPERLINK("https://leilaoonline.net/lote/detalhe/216019", "33064")</f>
      </c>
      <c r="B336" s="4" t="s">
        <f>=HYPERLINK("https://leilaoonline.net/lote/detalhe/216019", " ELIMINADOR DE SOQUEIRA AGRO MATÃO; ANO 2019. - FR67202. - LOC. BOM RETIRO")</f>
      </c>
      <c r="C336" s="4" t="inlineStr">
        <is>
          <t>Não vendido</t>
        </is>
      </c>
      <c r="D336" s="4" t="inlineStr">
        <is>
          <t>2</t>
        </is>
      </c>
      <c r="E336" s="5" t="inlineStr">
        <is>
          <t>3.100,00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=HYPERLINK("https://leilaoonline.net/lote/detalhe/216013", "33065")</f>
      </c>
      <c r="B337" s="4" t="s">
        <f>=HYPERLINK("https://leilaoonline.net/lote/detalhe/216013", " ELIMINADOR DE SOQUEIRA AGRO MATÃO; ANO 2019. - FR57434. - LOC. BOM RETIRO")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3.000,00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=HYPERLINK("https://leilaoonline.net/lote/detalhe/216015", "33066")</f>
      </c>
      <c r="B338" s="4" t="s">
        <f>=HYPERLINK("https://leilaoonline.net/lote/detalhe/216015", " ELIMINADOR DE SOQUEIRA AGRO MATÃO; ANO 2019. - FR38091. - LOC. BOM RETIRO")</f>
      </c>
      <c r="C338" s="4" t="inlineStr">
        <is>
          <t>Não vendido</t>
        </is>
      </c>
      <c r="D338" s="4" t="inlineStr">
        <is>
          <t>1</t>
        </is>
      </c>
      <c r="E338" s="5" t="inlineStr">
        <is>
          <t>3.000,00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=HYPERLINK("https://leilaoonline.net/lote/detalhe/216009", "33067")</f>
      </c>
      <c r="B339" s="4" t="s">
        <f>=HYPERLINK("https://leilaoonline.net/lote/detalhe/216009", " ELIMINADOR DE SOQUEIRA AGRO MATÃO; ANO 2019. - FR38092. - LOC. BOM RETIRO")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3.000,00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=HYPERLINK("https://leilaoonline.net/lote/detalhe/216026", "33068")</f>
      </c>
      <c r="B340" s="4" t="s">
        <f>=HYPERLINK("https://leilaoonline.net/lote/detalhe/216026", " ELIMINADOR DE SOQUEIRA AGRO MATÃO; ANO 2019. - FR57435. - LOC. BOM RETIRO")</f>
      </c>
      <c r="C340" s="4" t="inlineStr">
        <is>
          <t>Não vendido</t>
        </is>
      </c>
      <c r="D340" s="4" t="inlineStr">
        <is>
          <t>1</t>
        </is>
      </c>
      <c r="E340" s="5" t="inlineStr">
        <is>
          <t>3.000,00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=HYPERLINK("https://leilaoonline.net/lote/detalhe/216007", "33069")</f>
      </c>
      <c r="B341" s="4" t="s">
        <f>=HYPERLINK("https://leilaoonline.net/lote/detalhe/216007", " ELIMINADOR DE SOQUEIRA AGRO MATÃO; ANO 2019. - FR25281. - LOC. BOM RETIRO")</f>
      </c>
      <c r="C341" s="4" t="inlineStr">
        <is>
          <t>Não vendido</t>
        </is>
      </c>
      <c r="D341" s="4" t="inlineStr">
        <is>
          <t>2</t>
        </is>
      </c>
      <c r="E341" s="5" t="inlineStr">
        <is>
          <t>3.100,00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=HYPERLINK("https://leilaoonline.net/lote/detalhe/216017", "33070")</f>
      </c>
      <c r="B342" s="4" t="s">
        <f>=HYPERLINK("https://leilaoonline.net/lote/detalhe/216017", " ELIMINADOR DE SOQUEIRA AGRO MATÃO; ANO 2019. - FR25282. - LOC. BOM RETIRO")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=HYPERLINK("https://leilaoonline.net/lote/detalhe/216028", "33071")</f>
      </c>
      <c r="B343" s="4" t="s">
        <f>=HYPERLINK("https://leilaoonline.net/lote/detalhe/216028", " ELIMINADOR DE SOQUEIRA AGRO MATÃO; ANO 2019. - FR25283. - LOC. BOM RETIRO")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3.000,00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=HYPERLINK("https://leilaoonline.net/lote/detalhe/216006", "33072")</f>
      </c>
      <c r="B344" s="4" t="s">
        <f>=HYPERLINK("https://leilaoonline.net/lote/detalhe/216006", " REBOQUE FNV - FRUEHAUF; ANO 1986/1986; LARANJA. (TANQUE) - FR66107. - LOC. BOM RETIRO ")</f>
      </c>
      <c r="C344" s="4" t="inlineStr">
        <is>
          <t>Vendido</t>
        </is>
      </c>
      <c r="D344" s="4" t="inlineStr">
        <is>
          <t>6</t>
        </is>
      </c>
      <c r="E344" s="5" t="inlineStr">
        <is>
          <t>15.000,00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=HYPERLINK("https://leilaoonline.net/lote/detalhe/216027", "33073")</f>
      </c>
      <c r="B345" s="4" t="s">
        <f>=HYPERLINK("https://leilaoonline.net/lote/detalhe/216027", " HIDRO ROLL METALMAG (ROLÃO) ANO 2006. - FR67126. - LOC. BOM RETIRO")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5.000,00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=HYPERLINK("https://leilaoonline.net/lote/detalhe/216010", "33074")</f>
      </c>
      <c r="B346" s="4" t="s">
        <f>=HYPERLINK("https://leilaoonline.net/lote/detalhe/216010", " COLHEDORA JOHN DEERE 3522 2L; ANO 2012. - FR139516. - LOC. BOM RETIRO")</f>
      </c>
      <c r="C346" s="4" t="inlineStr">
        <is>
          <t>Não vendido</t>
        </is>
      </c>
      <c r="D346" s="4" t="inlineStr">
        <is>
          <t>14</t>
        </is>
      </c>
      <c r="E346" s="5" t="inlineStr">
        <is>
          <t>38.000,00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=HYPERLINK("https://leilaoonline.net/lote/detalhe/216016", "33076")</f>
      </c>
      <c r="B347" s="4" t="s">
        <f>=HYPERLINK("https://leilaoonline.net/lote/detalhe/216016", " COLHEDORA JOHN DEERE 3522 2L; ANO 2012. - FR32232. - LOC. BOM RETIRO")</f>
      </c>
      <c r="C347" s="4" t="inlineStr">
        <is>
          <t>Vendido</t>
        </is>
      </c>
      <c r="D347" s="4" t="inlineStr">
        <is>
          <t>1</t>
        </is>
      </c>
      <c r="E347" s="5" t="inlineStr">
        <is>
          <t>20.000,00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=HYPERLINK("https://leilaoonline.net/lote/detalhe/216021", "33077")</f>
      </c>
      <c r="B348" s="4" t="s">
        <f>=HYPERLINK("https://leilaoonline.net/lote/detalhe/216021", " REBOQUE SOUFER CA 2E; ANO 2012/2012; CINZA. - FR112328. - LOC. BOM RETIRO")</f>
      </c>
      <c r="C348" s="4" t="inlineStr">
        <is>
          <t>Não vendido</t>
        </is>
      </c>
      <c r="D348" s="4" t="inlineStr">
        <is>
          <t>22</t>
        </is>
      </c>
      <c r="E348" s="5" t="inlineStr">
        <is>
          <t>31.000,00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=HYPERLINK("https://leilaoonline.net/lote/detalhe/216018", "33078")</f>
      </c>
      <c r="B349" s="4" t="s">
        <f>=HYPERLINK("https://leilaoonline.net/lote/detalhe/216018", " CULTIVADOR DISTRIBUIDOR DE ADUBO DMB 2L; ANO 2004. - FR57214. - LOC. BOM RETIRO")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3.000,00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=HYPERLINK("https://leilaoonline.net/lote/detalhe/216023", "33079")</f>
      </c>
      <c r="B350" s="4" t="s">
        <f>=HYPERLINK("https://leilaoonline.net/lote/detalhe/216023", " REBOQUE SOUFER CA 2E; ANO 2012/2012; CINZA. (BASCULANTE) - FR56149. - LOC. BOM RETIRO")</f>
      </c>
      <c r="C350" s="4" t="inlineStr">
        <is>
          <t>Vendido</t>
        </is>
      </c>
      <c r="D350" s="4" t="inlineStr">
        <is>
          <t>9</t>
        </is>
      </c>
      <c r="E350" s="5" t="inlineStr">
        <is>
          <t>23.000,00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=HYPERLINK("https://leilaoonline.net/lote/detalhe/216024", "33080")</f>
      </c>
      <c r="B351" s="4" t="s">
        <f>=HYPERLINK("https://leilaoonline.net/lote/detalhe/216024", " CARRETA ESPARRAMADORA DE CALCAREO SOLLUS; ANO 2011. - FR25307. -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=HYPERLINK("https://leilaoonline.net/lote/detalhe/216014", "33081")</f>
      </c>
      <c r="B352" s="4" t="s">
        <f>=HYPERLINK("https://leilaoonline.net/lote/detalhe/216014", " ADUBADEIRA JM3520SH JUMIL; ANO 2011. - FR25214. - LOC. BOM RETIRO")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3.000,00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=HYPERLINK("https://leilaoonline.net/lote/detalhe/216005", "33082")</f>
      </c>
      <c r="B353" s="4" t="s">
        <f>=HYPERLINK("https://leilaoonline.net/lote/detalhe/216005", " HIDRO ROLL. - FR670002. - LOC. BOM RETIRO")</f>
      </c>
      <c r="C353" s="4" t="inlineStr">
        <is>
          <t>Vendido</t>
        </is>
      </c>
      <c r="D353" s="4" t="inlineStr">
        <is>
          <t>28</t>
        </is>
      </c>
      <c r="E353" s="5" t="inlineStr">
        <is>
          <t>18.500,00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=HYPERLINK("https://leilaoonline.net/lote/detalhe/216020", "33083")</f>
      </c>
      <c r="B354" s="4" t="s">
        <f>=HYPERLINK("https://leilaoonline.net/lote/detalhe/216020", "REBOQUE ANTONINI; ANO 1991/1991; AZUL. - FR56141. - LOC. BOM RETIRO")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=HYPERLINK("https://leilaoonline.net/lote/detalhe/216260", "33100")</f>
      </c>
      <c r="B355" s="4" t="s">
        <f>=HYPERLINK("https://leilaoonline.net/lote/detalhe/216260", " REBOQUE RANDONSP RQ CA; ANO 2010/2010; AZUL. - FR93634. - LOC. ZANIN")</f>
      </c>
      <c r="C355" s="4" t="inlineStr">
        <is>
          <t>Vendido</t>
        </is>
      </c>
      <c r="D355" s="4" t="inlineStr">
        <is>
          <t>3</t>
        </is>
      </c>
      <c r="E355" s="5" t="inlineStr">
        <is>
          <t>27.000,00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=HYPERLINK("https://leilaoonline.net/lote/detalhe/216252", "33101")</f>
      </c>
      <c r="B356" s="4" t="s">
        <f>=HYPERLINK("https://leilaoonline.net/lote/detalhe/216252", " REBOQUE RANDON RQ CA; ANO 2010/2010; AZUL. - FR568220. - LOC. ZANIN")</f>
      </c>
      <c r="C356" s="4" t="inlineStr">
        <is>
          <t>Vendido</t>
        </is>
      </c>
      <c r="D356" s="4" t="inlineStr">
        <is>
          <t>24</t>
        </is>
      </c>
      <c r="E356" s="5" t="inlineStr">
        <is>
          <t>49.000,00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=HYPERLINK("https://leilaoonline.net/lote/detalhe/216250", "33102")</f>
      </c>
      <c r="B357" s="4" t="s">
        <f>=HYPERLINK("https://leilaoonline.net/lote/detalhe/216250", " REBOQUE RANDONSP RQ CA; ANO 2012/2012; AZUL. - FR93668. - LOC. ZANIN")</f>
      </c>
      <c r="C357" s="4" t="inlineStr">
        <is>
          <t>Vendido</t>
        </is>
      </c>
      <c r="D357" s="4" t="inlineStr">
        <is>
          <t>41</t>
        </is>
      </c>
      <c r="E357" s="5" t="inlineStr">
        <is>
          <t>66.000,00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=HYPERLINK("https://leilaoonline.net/lote/detalhe/216256", "33103")</f>
      </c>
      <c r="B358" s="4" t="s">
        <f>=HYPERLINK("https://leilaoonline.net/lote/detalhe/216256", " REBOQUE TRANSBORDO CAMAQ CPL; ANO 1994/1994; AZUL. - FR10668. - LOC. ZANIN (VENDA SOMENTE PARA COMPRADORES DO ESTADO DE SÃO PAULO)")</f>
      </c>
      <c r="C358" s="4" t="inlineStr">
        <is>
          <t>Não vendido</t>
        </is>
      </c>
      <c r="D358" s="4" t="inlineStr">
        <is>
          <t>3</t>
        </is>
      </c>
      <c r="E358" s="5" t="inlineStr">
        <is>
          <t>12.000,00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=HYPERLINK("https://leilaoonline.net/lote/detalhe/216259", "33104")</f>
      </c>
      <c r="B359" s="4" t="s">
        <f>=HYPERLINK("https://leilaoonline.net/lote/detalhe/216259", "REBOQUE TRANSBORDO CAMAQ CPL; ANO 1994/1994; AZUL. - FR135641.  - LOC. ZANIN (VENDA SOMENTE PARA COMPRADORES DO ESTADO DE SÃO PAULO)")</f>
      </c>
      <c r="C359" s="4" t="inlineStr">
        <is>
          <t>Não vendido</t>
        </is>
      </c>
      <c r="D359" s="4" t="inlineStr">
        <is>
          <t>6</t>
        </is>
      </c>
      <c r="E359" s="5" t="inlineStr">
        <is>
          <t>15.000,00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=HYPERLINK("https://leilaoonline.net/lote/detalhe/216254", "33105")</f>
      </c>
      <c r="B360" s="4" t="s">
        <f>=HYPERLINK("https://leilaoonline.net/lote/detalhe/216254", " REBOQUE RANDONSP RQ CA; ANO 2012/2012; AZUL. - FR93684. - LOC. ZANIN")</f>
      </c>
      <c r="C360" s="4" t="inlineStr">
        <is>
          <t>Vendido</t>
        </is>
      </c>
      <c r="D360" s="4" t="inlineStr">
        <is>
          <t>51</t>
        </is>
      </c>
      <c r="E360" s="5" t="inlineStr">
        <is>
          <t>75.000,00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=HYPERLINK("https://leilaoonline.net/lote/detalhe/216258", "33106")</f>
      </c>
      <c r="B361" s="4" t="s">
        <f>=HYPERLINK("https://leilaoonline.net/lote/detalhe/216258", " REBOQUE TRANSBORDO CAMAQ CPC; ANO 1994/1994; AZUL. - FR121195/FR10173. - LOC. ZANIN (VENDA SOMENTE PARA COMPRADORES DO ESTADO DE SÃO PAULO)")</f>
      </c>
      <c r="C361" s="4" t="inlineStr">
        <is>
          <t>Não vendido</t>
        </is>
      </c>
      <c r="D361" s="4" t="inlineStr">
        <is>
          <t>14</t>
        </is>
      </c>
      <c r="E361" s="5" t="inlineStr">
        <is>
          <t>23.000,00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=HYPERLINK("https://leilaoonline.net/lote/detalhe/216255", "33107")</f>
      </c>
      <c r="B362" s="4" t="s">
        <f>=HYPERLINK("https://leilaoonline.net/lote/detalhe/216255", " REBOQUE RANDONSP RQ CA; ANO 2010/2010. - FR93641. - LOC. ZANIN")</f>
      </c>
      <c r="C362" s="4" t="inlineStr">
        <is>
          <t>Vendido</t>
        </is>
      </c>
      <c r="D362" s="4" t="inlineStr">
        <is>
          <t>22</t>
        </is>
      </c>
      <c r="E362" s="5" t="inlineStr">
        <is>
          <t>46.000,00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=HYPERLINK("https://leilaoonline.net/lote/detalhe/216246", "33108")</f>
      </c>
      <c r="B363" s="4" t="s">
        <f>=HYPERLINK("https://leilaoonline.net/lote/detalhe/216246", " CAMINHÃO COMBOIO VOLKSWAGEN 26.280 CRM 6X4; ANO 2013/2013; BRANCO. - FR10614. - LOC. ZANIN (VENDA SOMENTE PARA COMPRADORES DO ESTADO DE SÃO PAULO)")</f>
      </c>
      <c r="C363" s="4" t="inlineStr">
        <is>
          <t>Vendido</t>
        </is>
      </c>
      <c r="D363" s="4" t="inlineStr">
        <is>
          <t>59</t>
        </is>
      </c>
      <c r="E363" s="5" t="inlineStr">
        <is>
          <t>101.000,00</t>
        </is>
      </c>
      <c r="F363" s="4" t="inlineStr">
        <is>
          <t>2000.00</t>
        </is>
      </c>
    </row>
    <row collapsed="false" customFormat="false" customHeight="false" hidden="false" ht="12.1" outlineLevel="0" r="364">
      <c r="A364" s="5" t="s">
        <f>=HYPERLINK("https://leilaoonline.net/lote/detalhe/216262", "33109")</f>
      </c>
      <c r="B364" s="4" t="s">
        <f>=HYPERLINK("https://leilaoonline.net/lote/detalhe/216262", " REBOQUE RANDONSP RQ CA; ANO 2012/2013. - FR121567. - LOC. ZANIN")</f>
      </c>
      <c r="C364" s="4" t="inlineStr">
        <is>
          <t>Lote retirado</t>
        </is>
      </c>
      <c r="D364" s="4" t="inlineStr">
        <is>
          <t>0</t>
        </is>
      </c>
      <c r="E364" s="5" t="inlineStr">
        <is>
          <t>25.000,00</t>
        </is>
      </c>
      <c r="F364" s="4" t="inlineStr">
        <is>
          <t>1000.00</t>
        </is>
      </c>
    </row>
    <row collapsed="false" customFormat="false" customHeight="false" hidden="false" ht="12.1" outlineLevel="0" r="365">
      <c r="A365" s="5" t="s">
        <f>=HYPERLINK("https://leilaoonline.net/lote/detalhe/216251", "33110")</f>
      </c>
      <c r="B365" s="4" t="s">
        <f>=HYPERLINK("https://leilaoonline.net/lote/detalhe/216251", " REBOQUE RANDONSP RQ CA; ANO 2012/2012. - FR93674. - LOC. ZANIN")</f>
      </c>
      <c r="C365" s="4" t="inlineStr">
        <is>
          <t>Lote retirado</t>
        </is>
      </c>
      <c r="D365" s="4" t="inlineStr">
        <is>
          <t>0</t>
        </is>
      </c>
      <c r="E365" s="5" t="inlineStr">
        <is>
          <t>25.000,00</t>
        </is>
      </c>
      <c r="F3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2026-06-13T13:53:52.00Z</dcterms:created>
  <dc:creator>Tellks Tecnologia</dc:creator>
  <cp:revision>0</cp:revision>
</cp:coreProperties>
</file>