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+400 LOTES: 40 CAMINHÕES, 25 TRATORES - REBOQUES 12,5M - TANQUES - INFORMATICA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=HYPERLINK("https://leilaoonline.net/lote/detalhe/178787", "455")</f>
      </c>
      <c r="B11" s="4" t="s">
        <f>=HYPERLINK("https://leilaoonline.net/lote/detalhe/178787", " 03 KITS SOLLUS APLICAÇÃO DE HERBICIDA, FR4447048/FR4445107/FR4445172, LOC. CAARAPÓ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=HYPERLINK("https://leilaoonline.net/lote/detalhe/179800", "484")</f>
      </c>
      <c r="B12" s="4" t="s">
        <f>=HYPERLINK("https://leilaoonline.net/lote/detalhe/179800", "CHASSI DE GRADE ARADORA , FR14003003, LOC. RIO BRILHANTE 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=HYPERLINK("https://leilaoonline.net/lote/detalhe/178807", "485")</f>
      </c>
      <c r="B13" s="4" t="s">
        <f>=HYPERLINK("https://leilaoonline.net/lote/detalhe/178807", " AREA DE VIVENCIA, 299882,LOC. RIO BRILHANTE ")</f>
      </c>
      <c r="C13" s="4" t="inlineStr">
        <is>
          <t>Vendido</t>
        </is>
      </c>
      <c r="D13" s="4" t="inlineStr">
        <is>
          <t>2</t>
        </is>
      </c>
      <c r="E13" s="5" t="inlineStr">
        <is>
          <t>15.000,00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=HYPERLINK("https://leilaoonline.net/lote/detalhe/178869", "489")</f>
      </c>
      <c r="B14" s="4" t="s">
        <f>=HYPERLINK("https://leilaoonline.net/lote/detalhe/178869", " PLANT. SOLLUS FLEX 8080, ANO 2011, FR7036, LOC. PASSATEMPO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=HYPERLINK("https://leilaoonline.net/lote/detalhe/178879", "491")</f>
      </c>
      <c r="B15" s="4" t="s">
        <f>=HYPERLINK("https://leilaoonline.net/lote/detalhe/178879", " PLANT. SOLLUS FLEX 8080, ANO 2011, FR4447046, LOC. PASSATEMPO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=HYPERLINK("https://leilaoonline.net/lote/detalhe/178877", "500")</f>
      </c>
      <c r="B16" s="4" t="s">
        <f>=HYPERLINK("https://leilaoonline.net/lote/detalhe/178877", " GRADE 21 DISCOS, FR9003066, LOC. PASSATEMPO ")</f>
      </c>
      <c r="C16" s="4" t="inlineStr">
        <is>
          <t>Vendido</t>
        </is>
      </c>
      <c r="D16" s="4" t="inlineStr">
        <is>
          <t>64</t>
        </is>
      </c>
      <c r="E16" s="5" t="inlineStr">
        <is>
          <t>32.250,00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=HYPERLINK("https://leilaoonline.net/lote/detalhe/178882", "593")</f>
      </c>
      <c r="B17" s="4" t="s">
        <f>=HYPERLINK("https://leilaoonline.net/lote/detalhe/178882", " PLANTADORA CANA PICADA 185CV 23M³ 6TO, ANO 2011, FR11003594, LOC. MB")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=HYPERLINK("https://leilaoonline.net/lote/detalhe/178887", "594")</f>
      </c>
      <c r="B18" s="4" t="s">
        <f>=HYPERLINK("https://leilaoonline.net/lote/detalhe/178887", " TRANSBORDO CANA TIPO CAIXOTE SIMPLES, S/FR, LOC. MB")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=HYPERLINK("https://leilaoonline.net/lote/detalhe/178888", "597")</f>
      </c>
      <c r="B19" s="4" t="s">
        <f>=HYPERLINK("https://leilaoonline.net/lote/detalhe/178888", " TRANSBORDO CANA TIPO CAIXOTE SIMPLES,S/FR, LOC. MB")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=HYPERLINK("https://leilaoonline.net/lote/detalhe/178886", "613")</f>
      </c>
      <c r="B20" s="4" t="s">
        <f>=HYPERLINK("https://leilaoonline.net/lote/detalhe/178886", "TRATOR VOLVO L110E C/ GARRA, ANO 2005, FR13002033,LOC. MB")</f>
      </c>
      <c r="C20" s="4" t="inlineStr">
        <is>
          <t>Vendido</t>
        </is>
      </c>
      <c r="D20" s="4" t="inlineStr">
        <is>
          <t>42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=HYPERLINK("https://leilaoonline.net/lote/detalhe/178758", "679")</f>
      </c>
      <c r="B21" s="4" t="s">
        <f>=HYPERLINK("https://leilaoonline.net/lote/detalhe/178758", "CAMINHÃO VOLVO VM 260 6X4R, ANO 2011/2011, BRANCO. - CARROCERIA COMBOIO (57023). - FR. 4417010. - LOC. CAARAPÓ")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87.000,00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=HYPERLINK("https://leilaoonline.net/lote/detalhe/178746", "734")</f>
      </c>
      <c r="B22" s="4" t="s">
        <f>=HYPERLINK("https://leilaoonline.net/lote/detalhe/178746", " CARROC. TORTA DE FILTRO, ANO 2012. - FR. 4455047.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=HYPERLINK("https://leilaoonline.net/lote/detalhe/178769", "743")</f>
      </c>
      <c r="B23" s="4" t="s">
        <f>=HYPERLINK("https://leilaoonline.net/lote/detalhe/178769", " CAMINHÃO VOLVO FM 500 6X4T AUTOMÁTICO, ANO 2013/2013. - FR. 4415044. - LOC. CAARAPÓ")</f>
      </c>
      <c r="C23" s="4" t="inlineStr">
        <is>
          <t>Vendido</t>
        </is>
      </c>
      <c r="D23" s="4" t="inlineStr">
        <is>
          <t>57</t>
        </is>
      </c>
      <c r="E23" s="5" t="inlineStr">
        <is>
          <t>96.000,00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=HYPERLINK("https://leilaoonline.net/lote/detalhe/178738", "745")</f>
      </c>
      <c r="B24" s="4" t="s">
        <f>=HYPERLINK("https://leilaoonline.net/lote/detalhe/178738", " REBOQUE 4E USICAMP  E2E2 1180 12,5M, ANO 2008/2008, AZUL. - FR. 4455122.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=HYPERLINK("https://leilaoonline.net/lote/detalhe/178768", "780")</f>
      </c>
      <c r="B25" s="4" t="s">
        <f>=HYPERLINK("https://leilaoonline.net/lote/detalhe/178768", " TRANS.CIVEMASA TRIDEM 13T, ANO 2008. - FR. 4445046. - LOC. CAARAPÓ")</f>
      </c>
      <c r="C25" s="4" t="inlineStr">
        <is>
          <t>Vendido</t>
        </is>
      </c>
      <c r="D25" s="4" t="inlineStr">
        <is>
          <t>18</t>
        </is>
      </c>
      <c r="E25" s="5" t="inlineStr">
        <is>
          <t>21.000,00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=HYPERLINK("https://leilaoonline.net/lote/detalhe/178782", "808")</f>
      </c>
      <c r="B26" s="4" t="s">
        <f>=HYPERLINK("https://leilaoonline.net/lote/detalhe/178782", " SEMI-REBOQUE USICAMP SRCP E2 10000 12,5M, ANO 2008/2008, AZUL. - FR. 4493393. - LOC. CAARAPÓ")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=HYPERLINK("https://leilaoonline.net/lote/detalhe/178801", "812")</f>
      </c>
      <c r="B27" s="4" t="s">
        <f>=HYPERLINK("https://leilaoonline.net/lote/detalhe/178801", " TRANS.CIVEMASA TRIDEM 13T, ANO 2016, LOC. CAARAPÓ 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=HYPERLINK("https://leilaoonline.net/lote/detalhe/178789", "839")</f>
      </c>
      <c r="B28" s="4" t="s">
        <f>=HYPERLINK("https://leilaoonline.net/lote/detalhe/178789", " SEMI-REBOQUE USICAMP SRCP E2 10000 12,5M, ANO 2008/2008, AZUL. - FR. 4455112. - LOC. CAARAPÓ")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=HYPERLINK("https://leilaoonline.net/lote/detalhe/178766", "847")</f>
      </c>
      <c r="B29" s="4" t="s">
        <f>=HYPERLINK("https://leilaoonline.net/lote/detalhe/178766", " REBOQUE 4E USICAMP  E2E2 1180 12,5M, ANO 2008/2008, AZUL. - FR. 4455115. - LOC. CAARAPÓ")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=HYPERLINK("https://leilaoonline.net/lote/detalhe/178783", "850")</f>
      </c>
      <c r="B30" s="4" t="s">
        <f>=HYPERLINK("https://leilaoonline.net/lote/detalhe/178783", " REBOQUE RODOVIARIA RQ CI PR, ANO 1992/1992, AMARELA (COM BAZUKA). - FR. 4450631. - LOC. CAARAPÓ")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=HYPERLINK("https://leilaoonline.net/lote/detalhe/178756", "859")</f>
      </c>
      <c r="B31" s="4" t="s">
        <f>=HYPERLINK("https://leilaoonline.net/lote/detalhe/178756", " REBOQUE 4E USICAMP  E2E2 1180 12,5M, ANO 2008/2008, AZUL. - FR. 55119. - LOC. CAARAPÓ")</f>
      </c>
      <c r="C31" s="4" t="inlineStr">
        <is>
          <t>Vendido</t>
        </is>
      </c>
      <c r="D31" s="4" t="inlineStr">
        <is>
          <t>2</t>
        </is>
      </c>
      <c r="E31" s="5" t="inlineStr">
        <is>
          <t>26.000,00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=HYPERLINK("https://leilaoonline.net/lote/detalhe/178784", "874")</f>
      </c>
      <c r="B32" s="4" t="s">
        <f>=HYPERLINK("https://leilaoonline.net/lote/detalhe/178784", " 02 CULTIVADORES E 1 SULCADOR, FR4445287/FR4443251/FR4445029, LOC.CAARAPÓ 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=HYPERLINK("https://leilaoonline.net/lote/detalhe/178798", "877")</f>
      </c>
      <c r="B33" s="4" t="s">
        <f>=HYPERLINK("https://leilaoonline.net/lote/detalhe/178798", " SEMI-REBOQUE USICAMP SRCP E2 10000 12,5M, ANO 2008/2008, AZUL. - FR. 4455109. - LOC. CAARAPÓ")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=HYPERLINK("https://leilaoonline.net/lote/detalhe/178791", "886")</f>
      </c>
      <c r="B34" s="4" t="s">
        <f>=HYPERLINK("https://leilaoonline.net/lote/detalhe/178791", " TRANS.CIVEMASA TRIDEM 13T, ANO 2008, FR5004819, LOC. RIO BRILHANTE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=HYPERLINK("https://leilaoonline.net/lote/detalhe/178927", "890")</f>
      </c>
      <c r="B35" s="4" t="s">
        <f>=HYPERLINK("https://leilaoonline.net/lote/detalhe/178927", " TRANSBORDO ANTOMIASI 12 T, ANO 2015, FR293475, LOC. PASSATEMPO ")</f>
      </c>
      <c r="C35" s="4" t="inlineStr">
        <is>
          <t>Vendido</t>
        </is>
      </c>
      <c r="D35" s="4" t="inlineStr">
        <is>
          <t>3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=HYPERLINK("https://leilaoonline.net/lote/detalhe/178859", "927")</f>
      </c>
      <c r="B36" s="4" t="s">
        <f>=HYPERLINK("https://leilaoonline.net/lote/detalhe/178859", " TRANSBORDO ANTOMIASI 12 T, ANO 2015, FR293674, LOC. PASSATEMPO 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=HYPERLINK("https://leilaoonline.net/lote/detalhe/178793", "953")</f>
      </c>
      <c r="B37" s="4" t="s">
        <f>=HYPERLINK("https://leilaoonline.net/lote/detalhe/178793", " TRANSBORDO SANTAL VT 10T, ANO 2011, FR1003051, LOC. RIO BRILHANTE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=HYPERLINK("https://leilaoonline.net/lote/detalhe/178794", "964")</f>
      </c>
      <c r="B38" s="4" t="s">
        <f>=HYPERLINK("https://leilaoonline.net/lote/detalhe/178794", " TRANSBORDO SANTAL VT 10T, ANO 2012, FR9003088, LOC. RIO BRILHANTE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=HYPERLINK("https://leilaoonline.net/lote/detalhe/177148", "1009")</f>
      </c>
      <c r="B39" s="4" t="s">
        <f>=HYPERLINK("https://leilaoonline.net/lote/detalhe/177148", " S.REBOQUE USICAMP SRCP E2, ANO 2008/2008, AZUL, FR46852, LOC. IPAUSSU")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=HYPERLINK("https://leilaoonline.net/lote/detalhe/178797", "1235")</f>
      </c>
      <c r="B40" s="4" t="s">
        <f>=HYPERLINK("https://leilaoonline.net/lote/detalhe/178797", " TRATOR VALTRA BH 210I 4X4, ANO 2015, FR4435080, LOC. CAARAPO")</f>
      </c>
      <c r="C40" s="4" t="inlineStr">
        <is>
          <t>Não vendido</t>
        </is>
      </c>
      <c r="D40" s="4" t="inlineStr">
        <is>
          <t>81</t>
        </is>
      </c>
      <c r="E40" s="5" t="inlineStr">
        <is>
          <t>138.000,00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=HYPERLINK("https://leilaoonline.net/lote/detalhe/178757", "1244")</f>
      </c>
      <c r="B41" s="4" t="s">
        <f>=HYPERLINK("https://leilaoonline.net/lote/detalhe/178757", " VOLKSWAGEN KOMBI STANDARD 1.4 MI, ANO 2013/2014. - FR. 4425095. - LOC. CAARAPÓ")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=HYPERLINK("https://leilaoonline.net/lote/detalhe/178805", "1271")</f>
      </c>
      <c r="B42" s="4" t="s">
        <f>=HYPERLINK("https://leilaoonline.net/lote/detalhe/178805", " 02 HIDROHOLL, 125/450 G4 TURBO MAQ, FR9003011/FR5005756, LOC. RIO BRILHANTE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=HYPERLINK("https://leilaoonline.net/lote/detalhe/178863", "1328")</f>
      </c>
      <c r="B43" s="4" t="s">
        <f>=HYPERLINK("https://leilaoonline.net/lote/detalhe/178863", " REBOQUE CANA PICADA MCA RANDON, ANO 2004, FR14004242, LOC. SANTA ELISA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=HYPERLINK("https://leilaoonline.net/lote/detalhe/178918", "1329")</f>
      </c>
      <c r="B44" s="4" t="s">
        <f>=HYPERLINK("https://leilaoonline.net/lote/detalhe/178918", " REBOQUE CANA PICADA MCA RANDON, ANO 2004, FR14004237, LOC. SANTA ELISA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=HYPERLINK("https://leilaoonline.net/lote/detalhe/178858", "1330")</f>
      </c>
      <c r="B45" s="4" t="s">
        <f>=HYPERLINK("https://leilaoonline.net/lote/detalhe/178858", " REBOQUE CANA PICADA MCA RANDON, ANO 2004, FR14004253, LOC. SANTA ELISA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=HYPERLINK("https://leilaoonline.net/lote/detalhe/178926", "1331")</f>
      </c>
      <c r="B46" s="4" t="s">
        <f>=HYPERLINK("https://leilaoonline.net/lote/detalhe/178926", " REBOQUE CANA PICADA MCA RANDON, ANO 2004, FR14004236, LOC. SANTA ELISA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=HYPERLINK("https://leilaoonline.net/lote/detalhe/178883", "1332")</f>
      </c>
      <c r="B47" s="4" t="s">
        <f>=HYPERLINK("https://leilaoonline.net/lote/detalhe/178883", " REBOQUE CANA PICADA MCA RANDON, ANO 2004, FR14004240, LOC. SANTA ELISA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=HYPERLINK("https://leilaoonline.net/lote/detalhe/178862", "1333")</f>
      </c>
      <c r="B48" s="4" t="s">
        <f>=HYPERLINK("https://leilaoonline.net/lote/detalhe/178862", " SEMI REBOQUE CANA PICADA MCA RANDON, ANO 1997, FR14004218, LOC. SANTA ELISA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=HYPERLINK("https://leilaoonline.net/lote/detalhe/178881", "1335")</f>
      </c>
      <c r="B49" s="4" t="s">
        <f>=HYPERLINK("https://leilaoonline.net/lote/detalhe/178881", " SEMI REBOQUE CANA PICADA MCA RANDON, ANO 1995, FR14004180, LOC. SANTA ELISA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=HYPERLINK("https://leilaoonline.net/lote/detalhe/178867", "1338")</f>
      </c>
      <c r="B50" s="4" t="s">
        <f>=HYPERLINK("https://leilaoonline.net/lote/detalhe/178867", " TRANSBORDO-MCA CIVEMASA-MOD TAC 13000, ANO 1993,FR14003100, LOC. SANTA LISA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=HYPERLINK("https://leilaoonline.net/lote/detalhe/178908", "1340")</f>
      </c>
      <c r="B51" s="4" t="s">
        <f>=HYPERLINK("https://leilaoonline.net/lote/detalhe/178908", " TRANSBORDO-MCA CIVEMASA-MOD TAC 13000, ANO 2007, FR14003175, LOC.SANTA ELISA ")</f>
      </c>
      <c r="C51" s="4" t="inlineStr">
        <is>
          <t>Vendido</t>
        </is>
      </c>
      <c r="D51" s="4" t="inlineStr">
        <is>
          <t>2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=HYPERLINK("https://leilaoonline.net/lote/detalhe/177745", "3312")</f>
      </c>
      <c r="B52" s="4" t="s">
        <f>=HYPERLINK("https://leilaoonline.net/lote/detalhe/177745", " MOTOR DIESEL, SF, LOC. DIAMANTE , LOC. DIAMANTE  ")</f>
      </c>
      <c r="C52" s="4" t="inlineStr">
        <is>
          <t>Vendido</t>
        </is>
      </c>
      <c r="D52" s="4" t="inlineStr">
        <is>
          <t>28</t>
        </is>
      </c>
      <c r="E52" s="5" t="inlineStr">
        <is>
          <t>16.250,00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=HYPERLINK("https://leilaoonline.net/lote/detalhe/177714", "3607")</f>
      </c>
      <c r="B53" s="4" t="s">
        <f>=HYPERLINK("https://leilaoonline.net/lote/detalhe/177714", "LOTE COM 3 PINOS BOLAS, SF, LOC.DIAMANTE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=HYPERLINK("https://leilaoonline.net/lote/detalhe/177635", "3611")</f>
      </c>
      <c r="B54" s="4" t="s">
        <f>=HYPERLINK("https://leilaoonline.net/lote/detalhe/177635", " 2 ENLHEIRADOR SUCATEADO, FR103409/103430, LOC. DIAMANTE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=HYPERLINK("https://leilaoonline.net/lote/detalhe/177639", "3613")</f>
      </c>
      <c r="B55" s="4" t="s">
        <f>=HYPERLINK("https://leilaoonline.net/lote/detalhe/177639", " CARRETA SERV. GERAIS, FR71024, LOC. DIAMANTE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=HYPERLINK("https://leilaoonline.net/lote/detalhe/177636", "3616")</f>
      </c>
      <c r="B56" s="4" t="s">
        <f>=HYPERLINK("https://leilaoonline.net/lote/detalhe/177636", " 2 ESTRUTURA DE IMPLEMENTO, FR103098/103948, LOC. DIAMANTE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=HYPERLINK("https://leilaoonline.net/lote/detalhe/177648", "3617")</f>
      </c>
      <c r="B57" s="4" t="s">
        <f>=HYPERLINK("https://leilaoonline.net/lote/detalhe/177648", " CARRETA DE TORTA, , FR103631, LOC. DIAMANTE")</f>
      </c>
      <c r="C57" s="4" t="inlineStr">
        <is>
          <t>Vendido</t>
        </is>
      </c>
      <c r="D57" s="4" t="inlineStr">
        <is>
          <t>8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=HYPERLINK("https://leilaoonline.net/lote/detalhe/177743", "3619")</f>
      </c>
      <c r="B58" s="4" t="s">
        <f>=HYPERLINK("https://leilaoonline.net/lote/detalhe/177743", " ONIBUS, M.BENZ/OF 1315, ANO 1991/1992, BRANCA, LOC. DIAMANTE ")</f>
      </c>
      <c r="C58" s="4" t="inlineStr">
        <is>
          <t>Vendido</t>
        </is>
      </c>
      <c r="D58" s="4" t="inlineStr">
        <is>
          <t>14</t>
        </is>
      </c>
      <c r="E58" s="5" t="inlineStr">
        <is>
          <t>22.500,00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=HYPERLINK("https://leilaoonline.net/lote/detalhe/177747", "3620")</f>
      </c>
      <c r="B59" s="4" t="s">
        <f>=HYPERLINK("https://leilaoonline.net/lote/detalhe/177747", " CARRETA DE TORTA, FR103785, LOC. DIAMANTE ")</f>
      </c>
      <c r="C59" s="4" t="inlineStr">
        <is>
          <t>Vendido</t>
        </is>
      </c>
      <c r="D59" s="4" t="inlineStr">
        <is>
          <t>3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=HYPERLINK("https://leilaoonline.net/lote/detalhe/177643", "3621")</f>
      </c>
      <c r="B60" s="4" t="s">
        <f>=HYPERLINK("https://leilaoonline.net/lote/detalhe/177643", " TRANSBORDO ATA, FR70626, LOC. DIAMANTE 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=HYPERLINK("https://leilaoonline.net/lote/detalhe/177741", "3624")</f>
      </c>
      <c r="B61" s="4" t="s">
        <f>=HYPERLINK("https://leilaoonline.net/lote/detalhe/177741", " TRANSBORDO ATA, FR70632, LOC. DIAMANTE ")</f>
      </c>
      <c r="C61" s="4" t="inlineStr">
        <is>
          <t>Não vendido</t>
        </is>
      </c>
      <c r="D61" s="4" t="inlineStr">
        <is>
          <t>25</t>
        </is>
      </c>
      <c r="E61" s="5" t="inlineStr">
        <is>
          <t>22.000,00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=HYPERLINK("https://leilaoonline.net/lote/detalhe/178062", "3628")</f>
      </c>
      <c r="B62" s="4" t="s">
        <f>=HYPERLINK("https://leilaoonline.net/lote/detalhe/178062", "BAZUCA, S/FR, LOC. DIAMANTE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=HYPERLINK("https://leilaoonline.net/lote/detalhe/177735", "3629")</f>
      </c>
      <c r="B63" s="4" t="s">
        <f>=HYPERLINK("https://leilaoonline.net/lote/detalhe/177735", " BAZUKA, S/FR, LOC. DIAMANTE 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5.250,00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=HYPERLINK("https://leilaoonline.net/lote/detalhe/177682", "3635")</f>
      </c>
      <c r="B64" s="4" t="s">
        <f>=HYPERLINK("https://leilaoonline.net/lote/detalhe/177682", " CENTRIFUGA - SUCATEADA, S/FR, LOC. SANTA CANDIDA 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=HYPERLINK("https://leilaoonline.net/lote/detalhe/177704", "3660")</f>
      </c>
      <c r="B65" s="4" t="s">
        <f>=HYPERLINK("https://leilaoonline.net/lote/detalhe/177704", " CARRETA P/ TUBO, FR19981, LOC. PARAISO 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=HYPERLINK("https://leilaoonline.net/lote/detalhe/177671", "3689")</f>
      </c>
      <c r="B66" s="4" t="s">
        <f>=HYPERLINK("https://leilaoonline.net/lote/detalhe/177671", " S.REBOQUE RANDON SRCA CA, ANO 2008/2008, AZUL,FR96248, (VENDA SEM PNEUS E RODAS) LOC. SANTA CANDIDA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=HYPERLINK("https://leilaoonline.net/lote/detalhe/177672", "3700")</f>
      </c>
      <c r="B67" s="4" t="s">
        <f>=HYPERLINK("https://leilaoonline.net/lote/detalhe/177672", " TRATOR BH 210, FR18073, LOC. SANTA CANDIDA ")</f>
      </c>
      <c r="C67" s="4" t="inlineStr">
        <is>
          <t>Vendido</t>
        </is>
      </c>
      <c r="D67" s="4" t="inlineStr">
        <is>
          <t>62</t>
        </is>
      </c>
      <c r="E67" s="5" t="inlineStr">
        <is>
          <t>138.000,00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=HYPERLINK("https://leilaoonline.net/lote/detalhe/177711", "3705")</f>
      </c>
      <c r="B68" s="4" t="s">
        <f>=HYPERLINK("https://leilaoonline.net/lote/detalhe/177711", "412 ITENS DE INFORMATICA, ( SENDO 71 NOTEBOOK, 238 DESKTOP, 62 MONITORES, 38 IMPRESSORAS, 2 LEITOR DE DVD, 1 SWITCH)  SUCATEADOS, COM PÇAS DANIFICADAS, S/ HDs/ MEMÓRIA , OBS: VEJA ABAIXO INFORMAÇÕES DE NOTA , LOC. UNIDADE BARRA 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24.500,00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=HYPERLINK("https://leilaoonline.net/lote/detalhe/177668", "3706")</f>
      </c>
      <c r="B69" s="4" t="s">
        <f>=HYPERLINK("https://leilaoonline.net/lote/detalhe/177668", " SUCATA DE SAVEIRO, FR501389, LOC. SANTA CANDIDA 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=HYPERLINK("https://leilaoonline.net/lote/detalhe/177681", "3707")</f>
      </c>
      <c r="B70" s="4" t="s">
        <f>=HYPERLINK("https://leilaoonline.net/lote/detalhe/177681", " 15 EIXO E 13 BOCA DE LOBO, S/SF, LOC. SANTA CANDIDA ")</f>
      </c>
      <c r="C70" s="4" t="inlineStr">
        <is>
          <t>Vendido</t>
        </is>
      </c>
      <c r="D70" s="4" t="inlineStr">
        <is>
          <t>40</t>
        </is>
      </c>
      <c r="E70" s="5" t="inlineStr">
        <is>
          <t>8.350,00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=HYPERLINK("https://leilaoonline.net/lote/detalhe/177680", "3708")</f>
      </c>
      <c r="B71" s="4" t="s">
        <f>=HYPERLINK("https://leilaoonline.net/lote/detalhe/177680", " APROX. 200 UNDS. PALETS DE MADEIRA - OBS: LANCE POR UNIDADE, S/ FR, LOC. SANTA CANDIDA ")</f>
      </c>
      <c r="C71" s="4" t="inlineStr">
        <is>
          <t>Não vendido</t>
        </is>
      </c>
      <c r="D71" s="4" t="inlineStr">
        <is>
          <t>46</t>
        </is>
      </c>
      <c r="E71" s="5" t="inlineStr">
        <is>
          <t>5,60</t>
        </is>
      </c>
      <c r="F71" s="4" t="inlineStr">
        <is>
          <t>0.10</t>
        </is>
      </c>
    </row>
    <row collapsed="false" customFormat="false" customHeight="false" hidden="false" ht="12.1" outlineLevel="0" r="72">
      <c r="A72" s="5" t="s">
        <f>=HYPERLINK("https://leilaoonline.net/lote/detalhe/177650", "3711")</f>
      </c>
      <c r="B72" s="4" t="s">
        <f>=HYPERLINK("https://leilaoonline.net/lote/detalhe/177650", " AREA DE VIVENCIA, FR70122, LOC. BIOMASSA/DIAMANTE")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=HYPERLINK("https://leilaoonline.net/lote/detalhe/178639", "3712")</f>
      </c>
      <c r="B73" s="4" t="s">
        <f>=HYPERLINK("https://leilaoonline.net/lote/detalhe/178639", "S.REBOQUE SERGOMEL SRCCPI 2E, ANO 2014/2014, AZUL, FR97809, LOC. BIOMASSA ")</f>
      </c>
      <c r="C73" s="4" t="inlineStr">
        <is>
          <t>Vendido</t>
        </is>
      </c>
      <c r="D73" s="4" t="inlineStr">
        <is>
          <t>25</t>
        </is>
      </c>
      <c r="E73" s="5" t="inlineStr">
        <is>
          <t>49.000,00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=HYPERLINK("https://leilaoonline.net/lote/detalhe/178640", "3713")</f>
      </c>
      <c r="B74" s="4" t="s">
        <f>=HYPERLINK("https://leilaoonline.net/lote/detalhe/178640", "S.REBOQUE SERGOMEL SRCCPI 2E, ANO 2014/2014, AZUL, FR97811 , LOC. BIOMASSA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56.000,00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=HYPERLINK("https://leilaoonline.net/lote/detalhe/178641", "3715")</f>
      </c>
      <c r="B75" s="4" t="s">
        <f>=HYPERLINK("https://leilaoonline.net/lote/detalhe/178641", "S. REBOQUE SERGOMEL SRSCPI 2E, ANO 2013/2013, AZUL, FR97806, LOC. BIOMASSA ")</f>
      </c>
      <c r="C75" s="4" t="inlineStr">
        <is>
          <t>Vendido</t>
        </is>
      </c>
      <c r="D75" s="4" t="inlineStr">
        <is>
          <t>24</t>
        </is>
      </c>
      <c r="E75" s="5" t="inlineStr">
        <is>
          <t>48.000,00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=HYPERLINK("https://leilaoonline.net/lote/detalhe/178642", "3716")</f>
      </c>
      <c r="B76" s="4" t="s">
        <f>=HYPERLINK("https://leilaoonline.net/lote/detalhe/178642", "REBOQUE SERGOMEL RSCPI 4E, ANO 2014/2014, AZUL, FR97814, LOC. BIOMASSA ")</f>
      </c>
      <c r="C76" s="4" t="inlineStr">
        <is>
          <t>Vendido</t>
        </is>
      </c>
      <c r="D76" s="4" t="inlineStr">
        <is>
          <t>54</t>
        </is>
      </c>
      <c r="E76" s="5" t="inlineStr">
        <is>
          <t>78.000,00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=HYPERLINK("https://leilaoonline.net/lote/detalhe/177655", "3718")</f>
      </c>
      <c r="B77" s="4" t="s">
        <f>=HYPERLINK("https://leilaoonline.net/lote/detalhe/177655", " TRATOR VALTRA BH205 I, FR360621, LOC. DIAMANTE ")</f>
      </c>
      <c r="C77" s="4" t="inlineStr">
        <is>
          <t>Não vendido</t>
        </is>
      </c>
      <c r="D77" s="4" t="inlineStr">
        <is>
          <t>37</t>
        </is>
      </c>
      <c r="E77" s="5" t="inlineStr">
        <is>
          <t>139.000,00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=HYPERLINK("https://leilaoonline.net/lote/detalhe/177657", "3719")</f>
      </c>
      <c r="B78" s="4" t="s">
        <f>=HYPERLINK("https://leilaoonline.net/lote/detalhe/177657", " CAMINHÃO VW/26.220 EURO3 WORKER CARROC. TANQUE, ANO 2010/2010, BRANCA, 72514/72538, LOC.DIAMANTE ")</f>
      </c>
      <c r="C78" s="4" t="inlineStr">
        <is>
          <t>Não vendido</t>
        </is>
      </c>
      <c r="D78" s="4" t="inlineStr">
        <is>
          <t>96</t>
        </is>
      </c>
      <c r="E78" s="5" t="inlineStr">
        <is>
          <t>205.000,00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=HYPERLINK("https://leilaoonline.net/lote/detalhe/177656", "3720")</f>
      </c>
      <c r="B79" s="4" t="s">
        <f>=HYPERLINK("https://leilaoonline.net/lote/detalhe/177656", " ESTEIRA APROX. 16 MTS, PAT.ME462229, LOC. DIAMANTE 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=HYPERLINK("https://leilaoonline.net/lote/detalhe/177734", "3721")</f>
      </c>
      <c r="B80" s="4" t="s">
        <f>=HYPERLINK("https://leilaoonline.net/lote/detalhe/177734", " CAMINHÃO VW/8.120 EURO3, CARROC. MADEIRA, ANO 2005/2006, BRANCA, FR96330  (VERIFICAR SINISTRO), LOC. DIAMANTE ")</f>
      </c>
      <c r="C80" s="4" t="inlineStr">
        <is>
          <t>Vendido</t>
        </is>
      </c>
      <c r="D80" s="4" t="inlineStr">
        <is>
          <t>68</t>
        </is>
      </c>
      <c r="E80" s="5" t="inlineStr">
        <is>
          <t>39.750,00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=HYPERLINK("https://leilaoonline.net/lote/detalhe/177662", "3723")</f>
      </c>
      <c r="B81" s="4" t="s">
        <f>=HYPERLINK("https://leilaoonline.net/lote/detalhe/177662", " COLHEDORA J. DEERE, FR117550, LOC. DIAMANTE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=HYPERLINK("https://leilaoonline.net/lote/detalhe/177658", "3724")</f>
      </c>
      <c r="B82" s="4" t="s">
        <f>=HYPERLINK("https://leilaoonline.net/lote/detalhe/177658", " CARRETA TANQUE , S/FR, LOC. DIAMANTE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=HYPERLINK("https://leilaoonline.net/lote/detalhe/177659", "3725")</f>
      </c>
      <c r="B83" s="4" t="s">
        <f>=HYPERLINK("https://leilaoonline.net/lote/detalhe/177659", " CARROCERIA C/ TANQUE, BOMBA E COMPRESSOR, FR96492, LOC. DIAMANTE ")</f>
      </c>
      <c r="C83" s="4" t="inlineStr">
        <is>
          <t>Vendido</t>
        </is>
      </c>
      <c r="D83" s="4" t="inlineStr">
        <is>
          <t>4</t>
        </is>
      </c>
      <c r="E83" s="5" t="inlineStr">
        <is>
          <t>5.750,00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=HYPERLINK("https://leilaoonline.net/lote/detalhe/177660", "3726")</f>
      </c>
      <c r="B84" s="4" t="s">
        <f>=HYPERLINK("https://leilaoonline.net/lote/detalhe/177660", " 2  ESTRUTURA DE IMPLEMENTO, FR74046/74043, LOC. DIAMANTE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=HYPERLINK("https://leilaoonline.net/lote/detalhe/177665", "3727")</f>
      </c>
      <c r="B85" s="4" t="s">
        <f>=HYPERLINK("https://leilaoonline.net/lote/detalhe/177665", "CAMINHÃO M.BENZ/AXOR 3344S 6X4, ANO 2014/2014, BRANCA, FR362061, LOC. DIAMANTE ")</f>
      </c>
      <c r="C85" s="4" t="inlineStr">
        <is>
          <t>Não vendido</t>
        </is>
      </c>
      <c r="D85" s="4" t="inlineStr">
        <is>
          <t>123</t>
        </is>
      </c>
      <c r="E85" s="5" t="inlineStr">
        <is>
          <t>162.000,00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=HYPERLINK("https://leilaoonline.net/lote/detalhe/177831", "3728")</f>
      </c>
      <c r="B86" s="4" t="s">
        <f>=HYPERLINK("https://leilaoonline.net/lote/detalhe/177831", " CAMINHÃO VW 26.220, EURO3 WORKER, ANO 2010/2010, BRANCA,CAR. C. PICADA, FR96628/67341, LOC. BARRA ")</f>
      </c>
      <c r="C86" s="4" t="inlineStr">
        <is>
          <t>Não vendido</t>
        </is>
      </c>
      <c r="D86" s="4" t="inlineStr">
        <is>
          <t>89</t>
        </is>
      </c>
      <c r="E86" s="5" t="inlineStr">
        <is>
          <t>136.000,00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=HYPERLINK("https://leilaoonline.net/lote/detalhe/177825", "3729")</f>
      </c>
      <c r="B87" s="4" t="s">
        <f>=HYPERLINK("https://leilaoonline.net/lote/detalhe/177825", " ESTRUTURA DE ESTEIRA 10 MTS APROX., S/FR, LOC. BARRA ")</f>
      </c>
      <c r="C87" s="4" t="inlineStr">
        <is>
          <t>Vendido</t>
        </is>
      </c>
      <c r="D87" s="4" t="inlineStr">
        <is>
          <t>3</t>
        </is>
      </c>
      <c r="E87" s="5" t="inlineStr">
        <is>
          <t>4.350,00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=HYPERLINK("https://leilaoonline.net/lote/detalhe/177828", "3730")</f>
      </c>
      <c r="B88" s="4" t="s">
        <f>=HYPERLINK("https://leilaoonline.net/lote/detalhe/177828", " ESTRUTURA DE ESTEIRA 10 MTS APROX., S/FR, LOC. BARRA ")</f>
      </c>
      <c r="C88" s="4" t="inlineStr">
        <is>
          <t>Vendido</t>
        </is>
      </c>
      <c r="D88" s="4" t="inlineStr">
        <is>
          <t>5</t>
        </is>
      </c>
      <c r="E88" s="5" t="inlineStr">
        <is>
          <t>15.000,00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=HYPERLINK("https://leilaoonline.net/lote/detalhe/177829", "3731")</f>
      </c>
      <c r="B89" s="4" t="s">
        <f>=HYPERLINK("https://leilaoonline.net/lote/detalhe/177829", " 4 ROLOS DE LONA DE BORRACHA, S/FR, LOC. BARRA ")</f>
      </c>
      <c r="C89" s="4" t="inlineStr">
        <is>
          <t>Vendido</t>
        </is>
      </c>
      <c r="D89" s="4" t="inlineStr">
        <is>
          <t>3</t>
        </is>
      </c>
      <c r="E89" s="5" t="inlineStr">
        <is>
          <t>1.800,00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=HYPERLINK("https://leilaoonline.net/lote/detalhe/177830", "3732")</f>
      </c>
      <c r="B90" s="4" t="s">
        <f>=HYPERLINK("https://leilaoonline.net/lote/detalhe/177830", " 40 REFLETORES/LUMINARIA E 6 CONTADOR, S/FR, LOC. BARRA ")</f>
      </c>
      <c r="C90" s="4" t="inlineStr">
        <is>
          <t>Vendido</t>
        </is>
      </c>
      <c r="D90" s="4" t="inlineStr">
        <is>
          <t>25</t>
        </is>
      </c>
      <c r="E90" s="5" t="inlineStr">
        <is>
          <t>5.100,00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=HYPERLINK("https://leilaoonline.net/lote/detalhe/177826", "3733")</f>
      </c>
      <c r="B91" s="4" t="s">
        <f>=HYPERLINK("https://leilaoonline.net/lote/detalhe/177826", " CAMINHÃO M.BENZ 3344S 6X4, ANO 2014/2014, BRANCA, FR10642, LOC. BARRA ")</f>
      </c>
      <c r="C91" s="4" t="inlineStr">
        <is>
          <t>Vendido</t>
        </is>
      </c>
      <c r="D91" s="4" t="inlineStr">
        <is>
          <t>112</t>
        </is>
      </c>
      <c r="E91" s="5" t="inlineStr">
        <is>
          <t>151.000,00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=HYPERLINK("https://leilaoonline.net/lote/detalhe/177832", "3734")</f>
      </c>
      <c r="B92" s="4" t="s">
        <f>=HYPERLINK("https://leilaoonline.net/lote/detalhe/177832", " CAMINHÃO M.BENZ 3344S 6X4, ANO 2014/2014, BRANCA, FR10655, LOC. BARRA ")</f>
      </c>
      <c r="C92" s="4" t="inlineStr">
        <is>
          <t>Não vendido</t>
        </is>
      </c>
      <c r="D92" s="4" t="inlineStr">
        <is>
          <t>113</t>
        </is>
      </c>
      <c r="E92" s="5" t="inlineStr">
        <is>
          <t>164.000,00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=HYPERLINK("https://leilaoonline.net/lote/detalhe/177833", "3735")</f>
      </c>
      <c r="B93" s="4" t="s">
        <f>=HYPERLINK("https://leilaoonline.net/lote/detalhe/177833", " 1 CABINA, 3 CAPOTAS E 2 ROLO DE BORRACHA, S/FR, LOC. BARRA ")</f>
      </c>
      <c r="C93" s="4" t="inlineStr">
        <is>
          <t>Vendido</t>
        </is>
      </c>
      <c r="D93" s="4" t="inlineStr">
        <is>
          <t>1</t>
        </is>
      </c>
      <c r="E93" s="5" t="inlineStr">
        <is>
          <t>2.500,00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=HYPERLINK("https://leilaoonline.net/lote/detalhe/177824", "3736")</f>
      </c>
      <c r="B94" s="4" t="s">
        <f>=HYPERLINK("https://leilaoonline.net/lote/detalhe/177824", " CARREGADEIRA MF. 292, FR100908, LOC BARRA")</f>
      </c>
      <c r="C94" s="4" t="inlineStr">
        <is>
          <t>Vendido</t>
        </is>
      </c>
      <c r="D94" s="4" t="inlineStr">
        <is>
          <t>203</t>
        </is>
      </c>
      <c r="E94" s="5" t="inlineStr">
        <is>
          <t>263.000,00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=HYPERLINK("https://leilaoonline.net/lote/detalhe/177827", "3737")</f>
      </c>
      <c r="B95" s="4" t="s">
        <f>=HYPERLINK("https://leilaoonline.net/lote/detalhe/177827", " TRATOR MF 7140 - MOTOR TRAVADO, FR102952, LOC. BARRA ")</f>
      </c>
      <c r="C95" s="4" t="inlineStr">
        <is>
          <t>Não vendido</t>
        </is>
      </c>
      <c r="D95" s="4" t="inlineStr">
        <is>
          <t>87</t>
        </is>
      </c>
      <c r="E95" s="5" t="inlineStr">
        <is>
          <t>129.000,00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=HYPERLINK("https://leilaoonline.net/lote/detalhe/178802", "3739")</f>
      </c>
      <c r="B96" s="4" t="s">
        <f>=HYPERLINK("https://leilaoonline.net/lote/detalhe/178802", " BAU OFICINA, FR14001189, LOC. RIO BRILHANTE ")</f>
      </c>
      <c r="C96" s="4" t="inlineStr">
        <is>
          <t>Vendido</t>
        </is>
      </c>
      <c r="D96" s="4" t="inlineStr">
        <is>
          <t>13</t>
        </is>
      </c>
      <c r="E96" s="5" t="inlineStr">
        <is>
          <t>5.200,00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=HYPERLINK("https://leilaoonline.net/lote/detalhe/178902", "4000")</f>
      </c>
      <c r="B97" s="4" t="s">
        <f>=HYPERLINK("https://leilaoonline.net/lote/detalhe/178902", " S.REBOQUE  RANDON 12,50 M, ANO 2008, FR10235, LOC. JUNQUEIRA 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=HYPERLINK("https://leilaoonline.net/lote/detalhe/178871", "4011")</f>
      </c>
      <c r="B98" s="4" t="s">
        <f>=HYPERLINK("https://leilaoonline.net/lote/detalhe/178871", " LOTE COM 19 MOTORES DIVERSOS TAMANHOS, S/FR, LOC. JUNQUEIRA ")</f>
      </c>
      <c r="C98" s="4" t="inlineStr">
        <is>
          <t>Não vendido</t>
        </is>
      </c>
      <c r="D98" s="4" t="inlineStr">
        <is>
          <t>69</t>
        </is>
      </c>
      <c r="E98" s="5" t="inlineStr">
        <is>
          <t>30.500,00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=HYPERLINK("https://leilaoonline.net/lote/detalhe/178878", "4034")</f>
      </c>
      <c r="B99" s="4" t="s">
        <f>=HYPERLINK("https://leilaoonline.net/lote/detalhe/178878", " S.REBOQUE  RANDON 12,50 M, ANO 2008, FR10233, LOC. JUNQUEIRA 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29.000,00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=HYPERLINK("https://leilaoonline.net/lote/detalhe/179342", "4040")</f>
      </c>
      <c r="B100" s="4" t="s">
        <f>=HYPERLINK("https://leilaoonline.net/lote/detalhe/179342", "PRANCHA 2 EIXO RODOLINEA MARCA RANDON, ANO 1981,  FR14004001, LOC. SANTA ELISA.")</f>
      </c>
      <c r="C100" s="4" t="inlineStr">
        <is>
          <t>Não vendido</t>
        </is>
      </c>
      <c r="D100" s="4" t="inlineStr">
        <is>
          <t>38</t>
        </is>
      </c>
      <c r="E100" s="5" t="inlineStr">
        <is>
          <t>77.000,00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=HYPERLINK("https://leilaoonline.net/lote/detalhe/178615", "4046")</f>
      </c>
      <c r="B101" s="4" t="s">
        <f>=HYPERLINK("https://leilaoonline.net/lote/detalhe/178615", " S.REBOQUE RANDON SRCA CA, 12,50 M, ANO 2008/2008, AZUL, FR10231, LOC. BONFIM 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=HYPERLINK("https://leilaoonline.net/lote/detalhe/178635", "4053")</f>
      </c>
      <c r="B102" s="4" t="s">
        <f>=HYPERLINK("https://leilaoonline.net/lote/detalhe/178635", " S.REBOQUE RANDON SRCA CA, 12,50 M, ANO 2008/2008, AZUL, FR112505, LOC. BONFIM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=HYPERLINK("https://leilaoonline.net/lote/detalhe/178621", "4056")</f>
      </c>
      <c r="B103" s="4" t="s">
        <f>=HYPERLINK("https://leilaoonline.net/lote/detalhe/178621", " S.REBOQUE USICAMP SRCP E2 10000, 12,50 M, ANO 2009/2009, AZUL, FR164013, LOC. BONFIM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=HYPERLINK("https://leilaoonline.net/lote/detalhe/178630", "4058")</f>
      </c>
      <c r="B104" s="4" t="s">
        <f>=HYPERLINK("https://leilaoonline.net/lote/detalhe/178630", " S.REBOQUE USICAMP SRCP E2 10000, 12,50 M, ANO 2009/2009, AZUL, FR164055, LOC. BONFIM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=HYPERLINK("https://leilaoonline.net/lote/detalhe/178735", "4059")</f>
      </c>
      <c r="B105" s="4" t="s">
        <f>=HYPERLINK("https://leilaoonline.net/lote/detalhe/178735", " SEMI-REBOQUE RANDON SRCA CA 12,50 M, ANO 2008/2008; AZUL. - FR. 88641. - LOC. BONFIM")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=HYPERLINK("https://leilaoonline.net/lote/detalhe/178753", "4062")</f>
      </c>
      <c r="B106" s="4" t="s">
        <f>=HYPERLINK("https://leilaoonline.net/lote/detalhe/178753", " SEMI-REBOQUE RANDON SRCA CA 12,50 M, ANO 2008/2008; AZUL. - FR. 121420. - LOC. BONFIM")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=HYPERLINK("https://leilaoonline.net/lote/detalhe/178744", "4064")</f>
      </c>
      <c r="B107" s="4" t="s">
        <f>=HYPERLINK("https://leilaoonline.net/lote/detalhe/178744", " REBOQUE CAMAQ 7,50 M, ANO 1987/1987, LARANJA. - FR. 121028. - LOC. BONFIM")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17.500,00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=HYPERLINK("https://leilaoonline.net/lote/detalhe/178743", "4065")</f>
      </c>
      <c r="B108" s="4" t="s">
        <f>=HYPERLINK("https://leilaoonline.net/lote/detalhe/178743", " REBOQUE FACCHINI RFRBC, ANO 1995/1995, LARANJA. - LOC. BONFIM")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=HYPERLINK("https://leilaoonline.net/lote/detalhe/178734", "4066")</f>
      </c>
      <c r="B109" s="4" t="s">
        <f>=HYPERLINK("https://leilaoonline.net/lote/detalhe/178734", " REBOQUE CAMAQ, ANO 1991/1991, LARANJA. - LOC. BONFIM")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12.500,00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=HYPERLINK("https://leilaoonline.net/lote/detalhe/178736", "4067")</f>
      </c>
      <c r="B110" s="4" t="s">
        <f>=HYPERLINK("https://leilaoonline.net/lote/detalhe/178736", " TRATOR CASE MAXXUM 180 4X4, ANO 2010, FR93335, LOC.BONFIM ")</f>
      </c>
      <c r="C110" s="4" t="inlineStr">
        <is>
          <t>Vendido</t>
        </is>
      </c>
      <c r="D110" s="4" t="inlineStr">
        <is>
          <t>68</t>
        </is>
      </c>
      <c r="E110" s="5" t="inlineStr">
        <is>
          <t>104.000,00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=HYPERLINK("https://leilaoonline.net/lote/detalhe/178619", "4068")</f>
      </c>
      <c r="B111" s="4" t="s">
        <f>=HYPERLINK("https://leilaoonline.net/lote/detalhe/178619", " ONIBUS M. BENZ/ OF1318, ANO 1993/1993, BRANCA, FR119008, LOC. BONFIM 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18.500,00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=HYPERLINK("https://leilaoonline.net/lote/detalhe/178603", "4069")</f>
      </c>
      <c r="B112" s="4" t="s">
        <f>=HYPERLINK("https://leilaoonline.net/lote/detalhe/178603", " CAR.DIST.TORTA MULTIFUNC , ANO 2008, FR122279, LOC. BONFIM 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=HYPERLINK("https://leilaoonline.net/lote/detalhe/178629", "4071")</f>
      </c>
      <c r="B113" s="4" t="s">
        <f>=HYPERLINK("https://leilaoonline.net/lote/detalhe/178629", " SUPER CULTIV. ADUBADE DMB, ANO 2008, FR17156, LOC. ARARAQUARA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=HYPERLINK("https://leilaoonline.net/lote/detalhe/178632", "4072")</f>
      </c>
      <c r="B114" s="4" t="s">
        <f>=HYPERLINK("https://leilaoonline.net/lote/detalhe/178632", " CULTIV.DIST. ADUBO DMB 2L, ANO 2007, FR361133, LOC. ARARAQUARA ")</f>
      </c>
      <c r="C114" s="4" t="inlineStr">
        <is>
          <t>Não vendido</t>
        </is>
      </c>
      <c r="D114" s="4" t="inlineStr">
        <is>
          <t>19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=HYPERLINK("https://leilaoonline.net/lote/detalhe/178749", "4073")</f>
      </c>
      <c r="B115" s="4" t="s">
        <f>=HYPERLINK("https://leilaoonline.net/lote/detalhe/178749", " CARRETA DIS.TORTA SPANDER, ANO 2011, FR57308, LOC. ARARAQUARA 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3.250,00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=HYPERLINK("https://leilaoonline.net/lote/detalhe/178761", "4074")</f>
      </c>
      <c r="B116" s="4" t="s">
        <f>=HYPERLINK("https://leilaoonline.net/lote/detalhe/178761", " CARRETA DIS.TORTA SPANDER, ANO 2015, FR25460, LOC. ARARAQUARA 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4.500,00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=HYPERLINK("https://leilaoonline.net/lote/detalhe/178742", "4075")</f>
      </c>
      <c r="B117" s="4" t="s">
        <f>=HYPERLINK("https://leilaoonline.net/lote/detalhe/178742", " REBOQUE RANDON RQ CA 12,5M, ANO 2010/2011, AZUL. - FR. 93662. - LOC. ARARAQUARA")</f>
      </c>
      <c r="C117" s="4" t="inlineStr">
        <is>
          <t>Vendido</t>
        </is>
      </c>
      <c r="D117" s="4" t="inlineStr">
        <is>
          <t>22</t>
        </is>
      </c>
      <c r="E117" s="5" t="inlineStr">
        <is>
          <t>46.000,00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=HYPERLINK("https://leilaoonline.net/lote/detalhe/178767", "4077")</f>
      </c>
      <c r="B118" s="4" t="s">
        <f>=HYPERLINK("https://leilaoonline.net/lote/detalhe/178767", " REBOQUE RANDON RQ CA 12,5M, ANO 2010/2010, AZUL. - FR. 56821. - LOC. ARARAQUARA")</f>
      </c>
      <c r="C118" s="4" t="inlineStr">
        <is>
          <t>Vendido</t>
        </is>
      </c>
      <c r="D118" s="4" t="inlineStr">
        <is>
          <t>16</t>
        </is>
      </c>
      <c r="E118" s="5" t="inlineStr">
        <is>
          <t>40.000,00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=HYPERLINK("https://leilaoonline.net/lote/detalhe/178737", "4080")</f>
      </c>
      <c r="B119" s="4" t="s">
        <f>=HYPERLINK("https://leilaoonline.net/lote/detalhe/178737", " SEMI-REBOQUE USICAMP SRCP E2 10000 12,50 M, ANO 2008/2008, AZUL. - FR. 56321. - LOC. ARARAQUARA")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=HYPERLINK("https://leilaoonline.net/lote/detalhe/178760", "4081")</f>
      </c>
      <c r="B120" s="4" t="s">
        <f>=HYPERLINK("https://leilaoonline.net/lote/detalhe/178760", " SEMI-REBOQUE RODOFORT AS SRC 2E 12,50M, ANO 2008/2008. - FR. 56316. - LOC. ARARAQUARA")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36.000,00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=HYPERLINK("https://leilaoonline.net/lote/detalhe/177733", "4130")</f>
      </c>
      <c r="B121" s="4" t="s">
        <f>=HYPERLINK("https://leilaoonline.net/lote/detalhe/177733", " TRANSBORDO SANTAL 12T, FR38327, LOC. PARAISO ")</f>
      </c>
      <c r="C121" s="4" t="inlineStr">
        <is>
          <t>Vendido</t>
        </is>
      </c>
      <c r="D121" s="4" t="inlineStr">
        <is>
          <t>12</t>
        </is>
      </c>
      <c r="E121" s="5" t="inlineStr">
        <is>
          <t>21.000,00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=HYPERLINK("https://leilaoonline.net/lote/detalhe/176871", "5000")</f>
      </c>
      <c r="B122" s="4" t="s">
        <f>=HYPERLINK("https://leilaoonline.net/lote/detalhe/176871", " TANQUE 1 CONDENSADO, FR652001, LOC. COSTA PINTO 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=HYPERLINK("https://leilaoonline.net/lote/detalhe/176884", "5001")</f>
      </c>
      <c r="B123" s="4" t="s">
        <f>=HYPERLINK("https://leilaoonline.net/lote/detalhe/176884", " COLUNA DESTILAÇÃO AAP2 (3 PÇS), SF, LOC. COSTA PINTO ")</f>
      </c>
      <c r="C123" s="4" t="inlineStr">
        <is>
          <t>Não vendido</t>
        </is>
      </c>
      <c r="D123" s="4" t="inlineStr">
        <is>
          <t>66</t>
        </is>
      </c>
      <c r="E123" s="5" t="inlineStr">
        <is>
          <t>60.000,00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=HYPERLINK("https://leilaoonline.net/lote/detalhe/176878", "5002")</f>
      </c>
      <c r="B124" s="4" t="s">
        <f>=HYPERLINK("https://leilaoonline.net/lote/detalhe/176878", " COLUNA DESTILAÇÃO AAR6 (1 PÇ), SF, LOC. COSTA PINTO ")</f>
      </c>
      <c r="C124" s="4" t="inlineStr">
        <is>
          <t>Não vendido</t>
        </is>
      </c>
      <c r="D124" s="4" t="inlineStr">
        <is>
          <t>33</t>
        </is>
      </c>
      <c r="E124" s="5" t="inlineStr">
        <is>
          <t>33.750,00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=HYPERLINK("https://leilaoonline.net/lote/detalhe/176879", "5003")</f>
      </c>
      <c r="B125" s="4" t="s">
        <f>=HYPERLINK("https://leilaoonline.net/lote/detalhe/176879", "REBOILER AP4 (1 PÇ), SF,  LOC, COSTA PINTO ")</f>
      </c>
      <c r="C125" s="4" t="inlineStr">
        <is>
          <t>Não vendido</t>
        </is>
      </c>
      <c r="D125" s="4" t="inlineStr">
        <is>
          <t>24</t>
        </is>
      </c>
      <c r="E125" s="5" t="inlineStr">
        <is>
          <t>19.500,00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=HYPERLINK("https://leilaoonline.net/lote/detalhe/177716", "5004")</f>
      </c>
      <c r="B126" s="4" t="s">
        <f>=HYPERLINK("https://leilaoonline.net/lote/detalhe/177716", "COLUNA DESTILAÇÃO BAP1 (3 PÇ), S/FR, LOC. COSTA PINTO ")</f>
      </c>
      <c r="C126" s="4" t="inlineStr">
        <is>
          <t>Não vendido</t>
        </is>
      </c>
      <c r="D126" s="4" t="inlineStr">
        <is>
          <t>37</t>
        </is>
      </c>
      <c r="E126" s="5" t="inlineStr">
        <is>
          <t>33.500,00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=HYPERLINK("https://leilaoonline.net/lote/detalhe/176907", "5005")</f>
      </c>
      <c r="B127" s="4" t="s">
        <f>=HYPERLINK("https://leilaoonline.net/lote/detalhe/176907", " COLUNA DESTILAÇÃO CAP2 (3 PÇS), SF, LOC. COSTA PINTO ")</f>
      </c>
      <c r="C127" s="4" t="inlineStr">
        <is>
          <t>Não vendido</t>
        </is>
      </c>
      <c r="D127" s="4" t="inlineStr">
        <is>
          <t>26</t>
        </is>
      </c>
      <c r="E127" s="5" t="inlineStr">
        <is>
          <t>27.000,00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=HYPERLINK("https://leilaoonline.net/lote/detalhe/176873", "5006")</f>
      </c>
      <c r="B128" s="4" t="s">
        <f>=HYPERLINK("https://leilaoonline.net/lote/detalhe/176873", " COLUNA DESTILAÇÃO BAP2 (1 PÇ), SF, LOC,. COSTA PINTO ")</f>
      </c>
      <c r="C128" s="4" t="inlineStr">
        <is>
          <t>Não vendido</t>
        </is>
      </c>
      <c r="D128" s="4" t="inlineStr">
        <is>
          <t>12</t>
        </is>
      </c>
      <c r="E128" s="5" t="inlineStr">
        <is>
          <t>19.000,00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=HYPERLINK("https://leilaoonline.net/lote/detalhe/176875", "5007")</f>
      </c>
      <c r="B129" s="4" t="s">
        <f>=HYPERLINK("https://leilaoonline.net/lote/detalhe/176875", " COLUNA DESTILAÇÃO PAP6 (1 PÇ), SF,  LOC. COSTA PINTO ")</f>
      </c>
      <c r="C129" s="4" t="inlineStr">
        <is>
          <t>Não vendido</t>
        </is>
      </c>
      <c r="D129" s="4" t="inlineStr">
        <is>
          <t>16</t>
        </is>
      </c>
      <c r="E129" s="5" t="inlineStr">
        <is>
          <t>12.500,00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=HYPERLINK("https://leilaoonline.net/lote/detalhe/176891", "5008")</f>
      </c>
      <c r="B130" s="4" t="s">
        <f>=HYPERLINK("https://leilaoonline.net/lote/detalhe/176891", " COLUNA DESTILAÇÃO AAP1 (2 PÇ), SF, LOC. COSTA PINTO ")</f>
      </c>
      <c r="C130" s="4" t="inlineStr">
        <is>
          <t>Não vendido</t>
        </is>
      </c>
      <c r="D130" s="4" t="inlineStr">
        <is>
          <t>40</t>
        </is>
      </c>
      <c r="E130" s="5" t="inlineStr">
        <is>
          <t>43.250,00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=HYPERLINK("https://leilaoonline.net/lote/detalhe/176899", "5009")</f>
      </c>
      <c r="B131" s="4" t="s">
        <f>=HYPERLINK("https://leilaoonline.net/lote/detalhe/176899", " COLUNA DESTILAÇÃO AAP6 (2 PÇ), SF, LOC. COSTA PINTO ")</f>
      </c>
      <c r="C131" s="4" t="inlineStr">
        <is>
          <t>Não vendido</t>
        </is>
      </c>
      <c r="D131" s="4" t="inlineStr">
        <is>
          <t>21</t>
        </is>
      </c>
      <c r="E131" s="5" t="inlineStr">
        <is>
          <t>23.250,00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=HYPERLINK("https://leilaoonline.net/lote/detalhe/176896", "5010")</f>
      </c>
      <c r="B132" s="4" t="s">
        <f>=HYPERLINK("https://leilaoonline.net/lote/detalhe/176896", " TRATOR MASSEY FERGUSON 275 4X2 PNEU LEVE, ANO 1993, FR51374, LOC. COSTA PINTO ")</f>
      </c>
      <c r="C132" s="4" t="inlineStr">
        <is>
          <t>Não vendido</t>
        </is>
      </c>
      <c r="D132" s="4" t="inlineStr">
        <is>
          <t>31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=HYPERLINK("https://leilaoonline.net/lote/detalhe/176874", "5011")</f>
      </c>
      <c r="B133" s="4" t="s">
        <f>=HYPERLINK("https://leilaoonline.net/lote/detalhe/176874", " TRATOR MASSEY FERGUSON 275 4X2 PNEU LEVE, ANO 1993, FR51347,  LOC. COSTA PINTO ")</f>
      </c>
      <c r="C133" s="4" t="inlineStr">
        <is>
          <t>Não vendido</t>
        </is>
      </c>
      <c r="D133" s="4" t="inlineStr">
        <is>
          <t>28</t>
        </is>
      </c>
      <c r="E133" s="5" t="inlineStr">
        <is>
          <t>47.000,00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=HYPERLINK("https://leilaoonline.net/lote/detalhe/177727", "5014")</f>
      </c>
      <c r="B134" s="4" t="s">
        <f>=HYPERLINK("https://leilaoonline.net/lote/detalhe/177727", " ENXADA ROTATIVA UNIVERSAL, ANO 2013, FR25041, LOC. BOM RETIRO ")</f>
      </c>
      <c r="C134" s="4" t="inlineStr">
        <is>
          <t>Não vendido</t>
        </is>
      </c>
      <c r="D134" s="4" t="inlineStr">
        <is>
          <t>7</t>
        </is>
      </c>
      <c r="E134" s="5" t="inlineStr">
        <is>
          <t>4.750,00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=HYPERLINK("https://leilaoonline.net/lote/detalhe/176898", "5015")</f>
      </c>
      <c r="B135" s="4" t="s">
        <f>=HYPERLINK("https://leilaoonline.net/lote/detalhe/176898", " ADUBADEIRA JM3520SH Jumil, ANO 2011, FR57304, LOC. BOM RETIRO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=HYPERLINK("https://leilaoonline.net/lote/detalhe/176872", "5016")</f>
      </c>
      <c r="B136" s="4" t="s">
        <f>=HYPERLINK("https://leilaoonline.net/lote/detalhe/176872", " ADUBADEIRA MARCA JUMIL MODELO JM3520SH TOMBADO, ANO 2012, FR57318, LOC. BOM RETIRO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=HYPERLINK("https://leilaoonline.net/lote/detalhe/176887", "5017")</f>
      </c>
      <c r="B137" s="4" t="s">
        <f>=HYPERLINK("https://leilaoonline.net/lote/detalhe/176887", " ADUBADEIRA MARCA JUMIL MODELO JM3520SH, ANO 2012, FR57317, LOC. BOM RETIRO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=HYPERLINK("https://leilaoonline.net/lote/detalhe/176881", "5018")</f>
      </c>
      <c r="B138" s="4" t="s">
        <f>=HYPERLINK("https://leilaoonline.net/lote/detalhe/176881", " CAMINHAO MERCEDES BENZ MOD. 1214L TOCO CARROCERIA MADEIRA, ANO 1995/1995, FR71275, LOC. BOM RETIRO ")</f>
      </c>
      <c r="C138" s="4" t="inlineStr">
        <is>
          <t>Não vendido</t>
        </is>
      </c>
      <c r="D138" s="4" t="inlineStr">
        <is>
          <t>31</t>
        </is>
      </c>
      <c r="E138" s="5" t="inlineStr">
        <is>
          <t>55.000,00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=HYPERLINK("https://leilaoonline.net/lote/detalhe/176885", "5019")</f>
      </c>
      <c r="B139" s="4" t="s">
        <f>=HYPERLINK("https://leilaoonline.net/lote/detalhe/176885", " CAMINHÃO MERCEDES BENZ 2220 6X4 CARROCERIA CANA INTEIRA, ANO 1987/1987, FR22161, LOC. BOM RETIRO 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39.500,00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=HYPERLINK("https://leilaoonline.net/lote/detalhe/176880", "5021")</f>
      </c>
      <c r="B140" s="4" t="s">
        <f>=HYPERLINK("https://leilaoonline.net/lote/detalhe/176880", " CAMINHÃO M.BENZ/L 2225, ANO 1990/1990, FR34076, AMARELA, LOC. BOM RETIRO ")</f>
      </c>
      <c r="C140" s="4" t="inlineStr">
        <is>
          <t>Vendido</t>
        </is>
      </c>
      <c r="D140" s="4" t="inlineStr">
        <is>
          <t>47</t>
        </is>
      </c>
      <c r="E140" s="5" t="inlineStr">
        <is>
          <t>39.500,00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=HYPERLINK("https://leilaoonline.net/lote/detalhe/176882", "5022")</f>
      </c>
      <c r="B141" s="4" t="s">
        <f>=HYPERLINK("https://leilaoonline.net/lote/detalhe/176882", " REBOQUE RANDON RQ CA,  CANA PICADA, ANO 2002/2002, AZUL , LOC. BOM RETIRO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=HYPERLINK("https://leilaoonline.net/lote/detalhe/176905", "5024")</f>
      </c>
      <c r="B142" s="4" t="s">
        <f>=HYPERLINK("https://leilaoonline.net/lote/detalhe/176905", " 2 ADUBADEIRA JM3520SH JUMIL E CULTIVADOR DMB,ANO 2011, FR25214, LOC. BOM RETIRO")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=HYPERLINK("https://leilaoonline.net/lote/detalhe/177723", "5025")</f>
      </c>
      <c r="B143" s="4" t="s">
        <f>=HYPERLINK("https://leilaoonline.net/lote/detalhe/177723", " CAMINHÃO VW/26.220 EURO3 WORKER, ANO 2010/2011, BRANCA, FR52538- CARGA SECA, LOC. BOM RETIRO ")</f>
      </c>
      <c r="C143" s="4" t="inlineStr">
        <is>
          <t>Vendido</t>
        </is>
      </c>
      <c r="D143" s="4" t="inlineStr">
        <is>
          <t>60</t>
        </is>
      </c>
      <c r="E143" s="5" t="inlineStr">
        <is>
          <t>115.000,00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=HYPERLINK("https://leilaoonline.net/lote/detalhe/177729", "5026")</f>
      </c>
      <c r="B144" s="4" t="s">
        <f>=HYPERLINK("https://leilaoonline.net/lote/detalhe/177729", " APROX.27 RODAS DIVERSAS, 17 PESOS DE RODAS DIVERSAS, CALHA  ANTONIOSI (512709 - 512712), S/FR, LOC. BOM RETIRO ")</f>
      </c>
      <c r="C144" s="4" t="inlineStr">
        <is>
          <t>Não vendido</t>
        </is>
      </c>
      <c r="D144" s="4" t="inlineStr">
        <is>
          <t>35</t>
        </is>
      </c>
      <c r="E144" s="5" t="inlineStr">
        <is>
          <t>13.500,00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=HYPERLINK("https://leilaoonline.net/lote/detalhe/177720", "5028")</f>
      </c>
      <c r="B145" s="4" t="s">
        <f>=HYPERLINK("https://leilaoonline.net/lote/detalhe/177720", " REBOQUE SOUFER CA 2E, TRANSBORDO SANTA ISABEL 12T, ANO 2012/2012, CINZA, FR91589, LOC. BOM RETIRO ")</f>
      </c>
      <c r="C145" s="4" t="inlineStr">
        <is>
          <t>Não vendido</t>
        </is>
      </c>
      <c r="D145" s="4" t="inlineStr">
        <is>
          <t>30</t>
        </is>
      </c>
      <c r="E145" s="5" t="inlineStr">
        <is>
          <t>40.000,00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=HYPERLINK("https://leilaoonline.net/lote/detalhe/176889", "5029")</f>
      </c>
      <c r="B146" s="4" t="s">
        <f>=HYPERLINK("https://leilaoonline.net/lote/detalhe/176889", " TANQUE FLAG MASSA, SF, LOC. COSTA PINTO 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6.250,00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=HYPERLINK("https://leilaoonline.net/lote/detalhe/176910", "5030")</f>
      </c>
      <c r="B147" s="4" t="s">
        <f>=HYPERLINK("https://leilaoonline.net/lote/detalhe/176910", " TANQUE, SF, LOC. COSTA PINTO 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6.250,00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=HYPERLINK("https://leilaoonline.net/lote/detalhe/176893", "5031")</f>
      </c>
      <c r="B148" s="4" t="s">
        <f>=HYPERLINK("https://leilaoonline.net/lote/detalhe/176893", " COLUNA DESTILAÇÃO CAP3 (3 PÇ), SF, LOC. COSTA PINTO ")</f>
      </c>
      <c r="C148" s="4" t="inlineStr">
        <is>
          <t>Não vendido</t>
        </is>
      </c>
      <c r="D148" s="4" t="inlineStr">
        <is>
          <t>35</t>
        </is>
      </c>
      <c r="E148" s="5" t="inlineStr">
        <is>
          <t>30.000,00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=HYPERLINK("https://leilaoonline.net/lote/detalhe/176904", "5032")</f>
      </c>
      <c r="B149" s="4" t="s">
        <f>=HYPERLINK("https://leilaoonline.net/lote/detalhe/176904", " REBOILER CA3 (1 PÇ) E COLUNA DESTILAÇÃO PA3 (2 PÇ), SF, LOC. COSTA PINTO 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26.000,00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=HYPERLINK("https://leilaoonline.net/lote/detalhe/176906", "5033")</f>
      </c>
      <c r="B150" s="4" t="s">
        <f>=HYPERLINK("https://leilaoonline.net/lote/detalhe/176906", " TANQUE, SF, LOC. COSTA PINTO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=HYPERLINK("https://leilaoonline.net/lote/detalhe/176888", "5034")</f>
      </c>
      <c r="B151" s="4" t="s">
        <f>=HYPERLINK("https://leilaoonline.net/lote/detalhe/176888", " LOTE DE PLACAS DE TROCADOR DE CALOR, SF, LOC. RAFARD ")</f>
      </c>
      <c r="C151" s="4" t="inlineStr">
        <is>
          <t>Não vendido</t>
        </is>
      </c>
      <c r="D151" s="4" t="inlineStr">
        <is>
          <t>14</t>
        </is>
      </c>
      <c r="E151" s="5" t="inlineStr">
        <is>
          <t>8.250,00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=HYPERLINK("https://leilaoonline.net/lote/detalhe/176883", "5035")</f>
      </c>
      <c r="B152" s="4" t="s">
        <f>=HYPERLINK("https://leilaoonline.net/lote/detalhe/176883", " TANQUE CILINDRICO VERTICAL MAT POLETILE, 209865, LOC. RAFARD")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=HYPERLINK("https://leilaoonline.net/lote/detalhe/176903", "5036")</f>
      </c>
      <c r="B153" s="4" t="s">
        <f>=HYPERLINK("https://leilaoonline.net/lote/detalhe/176903", " TANQUE METALICO, 248603, LOC. RAFARD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=HYPERLINK("https://leilaoonline.net/lote/detalhe/176870", "5037")</f>
      </c>
      <c r="B154" s="4" t="s">
        <f>=HYPERLINK("https://leilaoonline.net/lote/detalhe/176870", " PONTE ROLANTE, SF, LOC. SÃO FRANCISCO ")</f>
      </c>
      <c r="C154" s="4" t="inlineStr">
        <is>
          <t>Vendido</t>
        </is>
      </c>
      <c r="D154" s="4" t="inlineStr">
        <is>
          <t>38</t>
        </is>
      </c>
      <c r="E154" s="5" t="inlineStr">
        <is>
          <t>33.500,00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=HYPERLINK("https://leilaoonline.net/lote/detalhe/176886", "5038")</f>
      </c>
      <c r="B155" s="4" t="s">
        <f>=HYPERLINK("https://leilaoonline.net/lote/detalhe/176886", " PONTE ROLANTE, SF, LOC. SÃO FRANCISCO ")</f>
      </c>
      <c r="C155" s="4" t="inlineStr">
        <is>
          <t>Vendido</t>
        </is>
      </c>
      <c r="D155" s="4" t="inlineStr">
        <is>
          <t>22</t>
        </is>
      </c>
      <c r="E155" s="5" t="inlineStr">
        <is>
          <t>22.000,00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=HYPERLINK("https://leilaoonline.net/lote/detalhe/176876", "5039")</f>
      </c>
      <c r="B156" s="4" t="s">
        <f>=HYPERLINK("https://leilaoonline.net/lote/detalhe/176876", " 2 TROCADORES DE CALOR APROXIMADAMENTE 20T (80% CARBONO, 10% INOX, 10% COBRE), LOC. SÃO FRANCISCO ")</f>
      </c>
      <c r="C156" s="4" t="inlineStr">
        <is>
          <t>Não vendido</t>
        </is>
      </c>
      <c r="D156" s="4" t="inlineStr">
        <is>
          <t>110</t>
        </is>
      </c>
      <c r="E156" s="5" t="inlineStr">
        <is>
          <t>101.500,00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=HYPERLINK("https://leilaoonline.net/lote/detalhe/178913", "5040")</f>
      </c>
      <c r="B157" s="4" t="s">
        <f>=HYPERLINK("https://leilaoonline.net/lote/detalhe/178913", " BASE C/MOTOR SCANIA QUEIMADO, S/ FR, LOC. SANTA ELISA ")</f>
      </c>
      <c r="C157" s="4" t="inlineStr">
        <is>
          <t>Vendido</t>
        </is>
      </c>
      <c r="D157" s="4" t="inlineStr">
        <is>
          <t>18</t>
        </is>
      </c>
      <c r="E157" s="5" t="inlineStr">
        <is>
          <t>7.350,00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=HYPERLINK("https://leilaoonline.net/lote/detalhe/178875", "5041")</f>
      </c>
      <c r="B158" s="4" t="s">
        <f>=HYPERLINK("https://leilaoonline.net/lote/detalhe/178875", " AREA DE VIVENCIA AGRICOLA 04 LUGARES COR VERDE, ANO 2012, FR14004622, LOC. SANTA ELISA 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6.750,00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=HYPERLINK("https://leilaoonline.net/lote/detalhe/178920", "5044")</f>
      </c>
      <c r="B159" s="4" t="s">
        <f>=HYPERLINK("https://leilaoonline.net/lote/detalhe/178920", " TANQUE - FILTRO INOX DE PLACAS VERTICAIS BUFALO, FPL-SE-0017, LOC. SANTA ELISA ")</f>
      </c>
      <c r="C159" s="4" t="inlineStr">
        <is>
          <t>Vendido</t>
        </is>
      </c>
      <c r="D159" s="4" t="inlineStr">
        <is>
          <t>10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=HYPERLINK("https://leilaoonline.net/lote/detalhe/178917", "5045")</f>
      </c>
      <c r="B160" s="4" t="s">
        <f>=HYPERLINK("https://leilaoonline.net/lote/detalhe/178917", " TANQUE RODOV BOMBEIRO COR AZUL, S/ FR, LOC. SANTA ELISA ")</f>
      </c>
      <c r="C160" s="4" t="inlineStr">
        <is>
          <t>Vendido</t>
        </is>
      </c>
      <c r="D160" s="4" t="inlineStr">
        <is>
          <t>16</t>
        </is>
      </c>
      <c r="E160" s="5" t="inlineStr">
        <is>
          <t>9.450,00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=HYPERLINK("https://leilaoonline.net/lote/detalhe/178912", "5047")</f>
      </c>
      <c r="B161" s="4" t="s">
        <f>=HYPERLINK("https://leilaoonline.net/lote/detalhe/178912", " ENLEIRADOR PALHA 4 GRADES, ANO 2012, FR1003154, LOC. SANTA ELISA ")</f>
      </c>
      <c r="C161" s="4" t="inlineStr">
        <is>
          <t>Vendido</t>
        </is>
      </c>
      <c r="D161" s="4" t="inlineStr">
        <is>
          <t>16</t>
        </is>
      </c>
      <c r="E161" s="5" t="inlineStr">
        <is>
          <t>7.750,00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=HYPERLINK("https://leilaoonline.net/lote/detalhe/178901", "5049")</f>
      </c>
      <c r="B162" s="4" t="s">
        <f>=HYPERLINK("https://leilaoonline.net/lote/detalhe/178901", " TRANSBORDO-MCA CIVEMASA-MOD TAC RC 10500, ANO 2011, FR14003541- LOC. SANTA ELISA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=HYPERLINK("https://leilaoonline.net/lote/detalhe/178911", "5050")</f>
      </c>
      <c r="B163" s="4" t="s">
        <f>=HYPERLINK("https://leilaoonline.net/lote/detalhe/178911", " 02 TRANSBORDO MCA SANTAL MOD VT10 - ANO 2011, FR1003047/FR1003049, LOC. SANTA ELISA ")</f>
      </c>
      <c r="C163" s="4" t="inlineStr">
        <is>
          <t>Vendido</t>
        </is>
      </c>
      <c r="D163" s="4" t="inlineStr">
        <is>
          <t>27</t>
        </is>
      </c>
      <c r="E163" s="5" t="inlineStr">
        <is>
          <t>33.500,00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=HYPERLINK("https://leilaoonline.net/lote/detalhe/178897", "5051")</f>
      </c>
      <c r="B164" s="4" t="s">
        <f>=HYPERLINK("https://leilaoonline.net/lote/detalhe/178897", "REBOQUE CANA PICADA MCA RANDON, ANO 2004/SEMI REBOQUE CANA PICADA MCA RANDON ANO 2007, FR14004235/FR14004301, LOC. SANTA ELISA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26.000,00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=HYPERLINK("https://leilaoonline.net/lote/detalhe/178876", "5052")</f>
      </c>
      <c r="B165" s="4" t="s">
        <f>=HYPERLINK("https://leilaoonline.net/lote/detalhe/178876", " SEMI REBOQUE CANA PICADA MCA RANDON, ANO 1996 /REBOQUE CANA PICADA MCA RANDON, ANO 2004, FR14004189/FR14004246, LOC. SANTA ELISA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=HYPERLINK("https://leilaoonline.net/lote/detalhe/178919", "5054")</f>
      </c>
      <c r="B166" s="4" t="s">
        <f>=HYPERLINK("https://leilaoonline.net/lote/detalhe/178919", " REBOQUE CANA PICADA MCA RANDON, ANO 2004, FR14004265, LOC. SANTA ELISA 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26.000,00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=HYPERLINK("https://leilaoonline.net/lote/detalhe/178894", "5055")</f>
      </c>
      <c r="B167" s="4" t="s">
        <f>=HYPERLINK("https://leilaoonline.net/lote/detalhe/178894", " CAMINHÃO MCA VOLVO MOD FM12 420 6X4, ANO 2006, FR13001007, LOC.MB")</f>
      </c>
      <c r="C167" s="4" t="inlineStr">
        <is>
          <t>Vendido</t>
        </is>
      </c>
      <c r="D167" s="4" t="inlineStr">
        <is>
          <t>11</t>
        </is>
      </c>
      <c r="E167" s="5" t="inlineStr">
        <is>
          <t>36.000,00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=HYPERLINK("https://leilaoonline.net/lote/detalhe/178903", "5056")</f>
      </c>
      <c r="B168" s="4" t="s">
        <f>=HYPERLINK("https://leilaoonline.net/lote/detalhe/178903", " DOLLY CANAVIEIRO RANDON, ANO 2006, FR13004190, LOC. MB")</f>
      </c>
      <c r="C168" s="4" t="inlineStr">
        <is>
          <t>Não vendido</t>
        </is>
      </c>
      <c r="D168" s="4" t="inlineStr">
        <is>
          <t>56</t>
        </is>
      </c>
      <c r="E168" s="5" t="inlineStr">
        <is>
          <t>25.000,00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=HYPERLINK("https://leilaoonline.net/lote/detalhe/178916", "5057")</f>
      </c>
      <c r="B169" s="4" t="s">
        <f>=HYPERLINK("https://leilaoonline.net/lote/detalhe/178916", " CAMINHÃO MCA VOLVO MOD FM12 420 6X4, 2006, FR13001008, LOC. MB")</f>
      </c>
      <c r="C169" s="4" t="inlineStr">
        <is>
          <t>Vendido</t>
        </is>
      </c>
      <c r="D169" s="4" t="inlineStr">
        <is>
          <t>16</t>
        </is>
      </c>
      <c r="E169" s="5" t="inlineStr">
        <is>
          <t>40.000,00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=HYPERLINK("https://leilaoonline.net/lote/detalhe/178861", "5058")</f>
      </c>
      <c r="B170" s="4" t="s">
        <f>=HYPERLINK("https://leilaoonline.net/lote/detalhe/178861", " CAMINHÃO MCA VOLVO MOD FM12 420 6X4, ANO 2006, FR13001009, LOC. MB ")</f>
      </c>
      <c r="C170" s="4" t="inlineStr">
        <is>
          <t>Vendido</t>
        </is>
      </c>
      <c r="D170" s="4" t="inlineStr">
        <is>
          <t>17</t>
        </is>
      </c>
      <c r="E170" s="5" t="inlineStr">
        <is>
          <t>41.000,00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=HYPERLINK("https://leilaoonline.net/lote/detalhe/178930", "5059")</f>
      </c>
      <c r="B171" s="4" t="s">
        <f>=HYPERLINK("https://leilaoonline.net/lote/detalhe/178930", " TRATOR VALTRA BH 140, ANO 2005, FR13002028, LOC. MB")</f>
      </c>
      <c r="C171" s="4" t="inlineStr">
        <is>
          <t>Não vendido</t>
        </is>
      </c>
      <c r="D171" s="4" t="inlineStr">
        <is>
          <t>51</t>
        </is>
      </c>
      <c r="E171" s="5" t="inlineStr">
        <is>
          <t>86.000,00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=HYPERLINK("https://leilaoonline.net/lote/detalhe/178855", "5060")</f>
      </c>
      <c r="B172" s="4" t="s">
        <f>=HYPERLINK("https://leilaoonline.net/lote/detalhe/178855", " GUINCHO CANARINHO, ANO 1970, FR13002018, LOC. MB")</f>
      </c>
      <c r="C172" s="4" t="inlineStr">
        <is>
          <t>Vendido</t>
        </is>
      </c>
      <c r="D172" s="4" t="inlineStr">
        <is>
          <t>20</t>
        </is>
      </c>
      <c r="E172" s="5" t="inlineStr">
        <is>
          <t>30.000,00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=HYPERLINK("https://leilaoonline.net/lote/detalhe/178889", "5061")</f>
      </c>
      <c r="B173" s="4" t="s">
        <f>=HYPERLINK("https://leilaoonline.net/lote/detalhe/178889", " CAMINHÃO FORD CARGO 2422 CALCARIO 2000/MUNCK VEICULAR MICHELETO, ANO 2000, FR11001025, LOC. MB")</f>
      </c>
      <c r="C173" s="4" t="inlineStr">
        <is>
          <t>Não vendido</t>
        </is>
      </c>
      <c r="D173" s="4" t="inlineStr">
        <is>
          <t>40</t>
        </is>
      </c>
      <c r="E173" s="5" t="inlineStr">
        <is>
          <t>93.000,00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=HYPERLINK("https://leilaoonline.net/lote/detalhe/178900", "5062")</f>
      </c>
      <c r="B174" s="4" t="s">
        <f>=HYPERLINK("https://leilaoonline.net/lote/detalhe/178900", " SEMI REBOQUE COM DOLLY CANAVIEIRO RANDON 2003/SEMI-REBOQUE PICADA-MCA RANDON, ANO 2002, FR13004101/FR13004188/FR13004107, LOC. MB")</f>
      </c>
      <c r="C174" s="4" t="inlineStr">
        <is>
          <t>Não vendido</t>
        </is>
      </c>
      <c r="D174" s="4" t="inlineStr">
        <is>
          <t>30</t>
        </is>
      </c>
      <c r="E174" s="5" t="inlineStr">
        <is>
          <t>55.000,00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=HYPERLINK("https://leilaoonline.net/lote/detalhe/178907", "5063")</f>
      </c>
      <c r="B175" s="4" t="s">
        <f>=HYPERLINK("https://leilaoonline.net/lote/detalhe/178907", " SEMI REBOQUE CANA PICADA-MCA RANDON, ANO 2007, FR11004308, LOC. MB")</f>
      </c>
      <c r="C175" s="4" t="inlineStr">
        <is>
          <t>Vendido</t>
        </is>
      </c>
      <c r="D175" s="4" t="inlineStr">
        <is>
          <t>3</t>
        </is>
      </c>
      <c r="E175" s="5" t="inlineStr">
        <is>
          <t>27.000,00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=HYPERLINK("https://leilaoonline.net/lote/detalhe/178860", "5064")</f>
      </c>
      <c r="B176" s="4" t="s">
        <f>=HYPERLINK("https://leilaoonline.net/lote/detalhe/178860", " SEMI-REBOQUE CANA PICADA-MCA RANDON, ANO 2006, FR11004296, LOC. MB")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26.000,00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=HYPERLINK("https://leilaoonline.net/lote/detalhe/178923", "5065")</f>
      </c>
      <c r="B177" s="4" t="s">
        <f>=HYPERLINK("https://leilaoonline.net/lote/detalhe/178923", "CAMINHÃO MCA VOLVO MOD FM12 420 6X4, ANO 2006, FR13001006, LOC. MB")</f>
      </c>
      <c r="C177" s="4" t="inlineStr">
        <is>
          <t>Vendido</t>
        </is>
      </c>
      <c r="D177" s="4" t="inlineStr">
        <is>
          <t>4</t>
        </is>
      </c>
      <c r="E177" s="5" t="inlineStr">
        <is>
          <t>28.000,00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=HYPERLINK("https://leilaoonline.net/lote/detalhe/178922", "5091")</f>
      </c>
      <c r="B178" s="4" t="s">
        <f>=HYPERLINK("https://leilaoonline.net/lote/detalhe/178922", " CARREGADEIRA CANA CBT 840,S/FR,  LOC. JUNQUEIRA ")</f>
      </c>
      <c r="C178" s="4" t="inlineStr">
        <is>
          <t>Vendido</t>
        </is>
      </c>
      <c r="D178" s="4" t="inlineStr">
        <is>
          <t>72</t>
        </is>
      </c>
      <c r="E178" s="5" t="inlineStr">
        <is>
          <t>54.000,00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=HYPERLINK("https://leilaoonline.net/lote/detalhe/178929", "5092")</f>
      </c>
      <c r="B179" s="4" t="s">
        <f>=HYPERLINK("https://leilaoonline.net/lote/detalhe/178929", " CASE MAXXUM 180 4X4, ANO 2010, FR93339, LOC. JUNQUEIRA ")</f>
      </c>
      <c r="C179" s="4" t="inlineStr">
        <is>
          <t>Vendido</t>
        </is>
      </c>
      <c r="D179" s="4" t="inlineStr">
        <is>
          <t>61</t>
        </is>
      </c>
      <c r="E179" s="5" t="inlineStr">
        <is>
          <t>85.000,00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=HYPERLINK("https://leilaoonline.net/lote/detalhe/179321", "5093")</f>
      </c>
      <c r="B180" s="4" t="s">
        <f>=HYPERLINK("https://leilaoonline.net/lote/detalhe/179321", "TRATOR CASE MAXXUM 180, ANO 2010, FR93334, LOC. JUNQUEIRA ")</f>
      </c>
      <c r="C180" s="4" t="inlineStr">
        <is>
          <t>Vendido</t>
        </is>
      </c>
      <c r="D180" s="4" t="inlineStr">
        <is>
          <t>67</t>
        </is>
      </c>
      <c r="E180" s="5" t="inlineStr">
        <is>
          <t>91.000,00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=HYPERLINK("https://leilaoonline.net/lote/detalhe/178856", "5094")</f>
      </c>
      <c r="B181" s="4" t="s">
        <f>=HYPERLINK("https://leilaoonline.net/lote/detalhe/178856", " HONDA XR 250 TORNADO, ANO 2005, FR92296, LOC. JUNQUEIRA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3.750,00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=HYPERLINK("https://leilaoonline.net/lote/detalhe/179319", "5095")</f>
      </c>
      <c r="B182" s="4" t="s">
        <f>=HYPERLINK("https://leilaoonline.net/lote/detalhe/179319", "MOTO HONDA XR 250 TORNADO, ANO 2006, FR92298, LOC. JUNQUEIRA")</f>
      </c>
      <c r="C182" s="4" t="inlineStr">
        <is>
          <t>Não vendido</t>
        </is>
      </c>
      <c r="D182" s="4" t="inlineStr">
        <is>
          <t>11</t>
        </is>
      </c>
      <c r="E182" s="5" t="inlineStr">
        <is>
          <t>5.750,00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=HYPERLINK("https://leilaoonline.net/lote/detalhe/178910", "5096")</f>
      </c>
      <c r="B183" s="4" t="s">
        <f>=HYPERLINK("https://leilaoonline.net/lote/detalhe/178910", " CAMINHONETE CHEVROLET S10, ANO 2006, FR92297, LOC.JUNQUEIRA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=HYPERLINK("https://leilaoonline.net/lote/detalhe/178896", "5097")</f>
      </c>
      <c r="B184" s="4" t="s">
        <f>=HYPERLINK("https://leilaoonline.net/lote/detalhe/178896", " REB. INDYCAR-TRI - MOTOS, ANO 2015, FR92555, LOC. JUNQUEIRA ")</f>
      </c>
      <c r="C184" s="4" t="inlineStr">
        <is>
          <t>Não vendido</t>
        </is>
      </c>
      <c r="D184" s="4" t="inlineStr">
        <is>
          <t>4</t>
        </is>
      </c>
      <c r="E184" s="5" t="inlineStr">
        <is>
          <t>3.250,00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=HYPERLINK("https://leilaoonline.net/lote/detalhe/176895", "5098")</f>
      </c>
      <c r="B185" s="4" t="s">
        <f>=HYPERLINK("https://leilaoonline.net/lote/detalhe/176895", " ADUBADEIRA MARCA JUMIL MODELO JM3520SH, ANO 2011, FR57305, LOC. BOM RETIRO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=HYPERLINK("https://leilaoonline.net/lote/detalhe/177748", "5110")</f>
      </c>
      <c r="B186" s="4" t="s">
        <f>=HYPERLINK("https://leilaoonline.net/lote/detalhe/177748", " QUADRICICLO HONDA TRX 420 FOURTRAX FM 4X4 C/ SISTEMA DE APLICACAO HERBICIDA, ANO 2016, FR7006002, LOC. LEME ")</f>
      </c>
      <c r="C186" s="4" t="inlineStr">
        <is>
          <t>Vendido</t>
        </is>
      </c>
      <c r="D186" s="4" t="inlineStr">
        <is>
          <t>41</t>
        </is>
      </c>
      <c r="E186" s="5" t="inlineStr">
        <is>
          <t>21.250,00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=HYPERLINK("https://leilaoonline.net/lote/detalhe/177746", "5112")</f>
      </c>
      <c r="B187" s="4" t="s">
        <f>=HYPERLINK("https://leilaoonline.net/lote/detalhe/177746", " QUADRICICLO HONDA TRX 420 FOURTRAX FM 4X4 C/ SISTEMA DE APLICACAO HERBICIDA, ANO 2016, FR11006020, LOC. LEME ")</f>
      </c>
      <c r="C187" s="4" t="inlineStr">
        <is>
          <t>Não vendido</t>
        </is>
      </c>
      <c r="D187" s="4" t="inlineStr">
        <is>
          <t>58</t>
        </is>
      </c>
      <c r="E187" s="5" t="inlineStr">
        <is>
          <t>22.500,00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=HYPERLINK("https://leilaoonline.net/lote/detalhe/177740", "5113")</f>
      </c>
      <c r="B188" s="4" t="s">
        <f>=HYPERLINK("https://leilaoonline.net/lote/detalhe/177740", " SUCATA DE MOTONIVELADORA CATERPILLAR , S/FR, LOC. LEME ")</f>
      </c>
      <c r="C188" s="4" t="inlineStr">
        <is>
          <t>Vendido</t>
        </is>
      </c>
      <c r="D188" s="4" t="inlineStr">
        <is>
          <t>82</t>
        </is>
      </c>
      <c r="E188" s="5" t="inlineStr">
        <is>
          <t>51.000,00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=HYPERLINK("https://leilaoonline.net/lote/detalhe/177136", "6000")</f>
      </c>
      <c r="B189" s="4" t="s">
        <f>=HYPERLINK("https://leilaoonline.net/lote/detalhe/177136", " TRATOR ESTEIRA DGN XL - ( MOTOR TRAVADO, ENCONTRA-SE AO LADO DO TRATOR) LOC.IPAUSSU  ")</f>
      </c>
      <c r="C189" s="4" t="inlineStr">
        <is>
          <t>Vendido</t>
        </is>
      </c>
      <c r="D189" s="4" t="inlineStr">
        <is>
          <t>95</t>
        </is>
      </c>
      <c r="E189" s="5" t="inlineStr">
        <is>
          <t>200.000,00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=HYPERLINK("https://leilaoonline.net/lote/detalhe/177143", "6001")</f>
      </c>
      <c r="B190" s="4" t="s">
        <f>=HYPERLINK("https://leilaoonline.net/lote/detalhe/177143", " CAMINHÃO M.BENZ/AXOR 3344S 6X4, ANO 2012/2012,BRANCA, FR45100, LOC. IPAUSSU ")</f>
      </c>
      <c r="C190" s="4" t="inlineStr">
        <is>
          <t>Vendido</t>
        </is>
      </c>
      <c r="D190" s="4" t="inlineStr">
        <is>
          <t>70</t>
        </is>
      </c>
      <c r="E190" s="5" t="inlineStr">
        <is>
          <t>132.000,00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=HYPERLINK("https://leilaoonline.net/lote/detalhe/177142", "6002")</f>
      </c>
      <c r="B191" s="4" t="s">
        <f>=HYPERLINK("https://leilaoonline.net/lote/detalhe/177142", " 7 PALHETES C/ PEÇAS AGRICÓLAS ( VENDA COMO SUCATA - QUINTA RODA, PISTÕES, BASE, RADIADORES E MANGUEIRAS, LOC. IPAUSSU 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3.500,00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=HYPERLINK("https://leilaoonline.net/lote/detalhe/177144", "6003")</f>
      </c>
      <c r="B192" s="4" t="s">
        <f>=HYPERLINK("https://leilaoonline.net/lote/detalhe/177144", " CAMINHÃO MUNCK VW/26-220 EURO3 WORKER, ANO 2010/2010, BRANCA,(MUNCK DESMONTADO) FR43021, LOC. IPAUSSU ")</f>
      </c>
      <c r="C192" s="4" t="inlineStr">
        <is>
          <t>Não vendido</t>
        </is>
      </c>
      <c r="D192" s="4" t="inlineStr">
        <is>
          <t>123</t>
        </is>
      </c>
      <c r="E192" s="5" t="inlineStr">
        <is>
          <t>193.000,00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=HYPERLINK("https://leilaoonline.net/lote/detalhe/177149", "6004")</f>
      </c>
      <c r="B193" s="4" t="s">
        <f>=HYPERLINK("https://leilaoonline.net/lote/detalhe/177149", " ONIBUS M.BENZ/OF 1620, ANO 1995/1995, AZUL, FR42025, LOC. IPAUSSU ")</f>
      </c>
      <c r="C193" s="4" t="inlineStr">
        <is>
          <t>Vendido</t>
        </is>
      </c>
      <c r="D193" s="4" t="inlineStr">
        <is>
          <t>11</t>
        </is>
      </c>
      <c r="E193" s="5" t="inlineStr">
        <is>
          <t>25.000,00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=HYPERLINK("https://leilaoonline.net/lote/detalhe/177151", "6005")</f>
      </c>
      <c r="B194" s="4" t="s">
        <f>=HYPERLINK("https://leilaoonline.net/lote/detalhe/177151", " SUCATA DE ALUMINIO ( VENDA POR KILO peso estimado 3500kilos) sendo aprox. 160 TUBOS E CONEXÕES, LOC. IPAUSSU ")</f>
      </c>
      <c r="C194" s="4" t="inlineStr">
        <is>
          <t>Vendido</t>
        </is>
      </c>
      <c r="D194" s="4" t="inlineStr">
        <is>
          <t>110</t>
        </is>
      </c>
      <c r="E194" s="5" t="inlineStr">
        <is>
          <t>53.550,00</t>
        </is>
      </c>
      <c r="F194" s="4" t="inlineStr">
        <is>
          <t>0.20</t>
        </is>
      </c>
    </row>
    <row collapsed="false" customFormat="false" customHeight="false" hidden="false" ht="12.1" outlineLevel="0" r="195">
      <c r="A195" s="5" t="s">
        <f>=HYPERLINK("https://leilaoonline.net/lote/detalhe/177147", "6006")</f>
      </c>
      <c r="B195" s="4" t="s">
        <f>=HYPERLINK("https://leilaoonline.net/lote/detalhe/177147", " ONIBUS M.BENZ/OF 1318, ANO 1992/1992, BRANCA, FR42024, LOC. IPAUSSU ")</f>
      </c>
      <c r="C195" s="4" t="inlineStr">
        <is>
          <t>Não vendido</t>
        </is>
      </c>
      <c r="D195" s="4" t="inlineStr">
        <is>
          <t>19</t>
        </is>
      </c>
      <c r="E195" s="5" t="inlineStr">
        <is>
          <t>25.000,00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=HYPERLINK("https://leilaoonline.net/lote/detalhe/177137", "6007")</f>
      </c>
      <c r="B196" s="4" t="s">
        <f>=HYPERLINK("https://leilaoonline.net/lote/detalhe/177137", " SUCATA DE MÓVEIS E UTENSILIOS - 3 CARCAÇA DE MOTOR,1 ROLO DE MANGUEIRA PRETA 3 AR COND., 1 BEBEDOURO E 1 ROLO MANTA, SF, LOC. IPAUSSU ")</f>
      </c>
      <c r="C196" s="4" t="inlineStr">
        <is>
          <t>Vendido</t>
        </is>
      </c>
      <c r="D196" s="4" t="inlineStr">
        <is>
          <t>4</t>
        </is>
      </c>
      <c r="E196" s="5" t="inlineStr">
        <is>
          <t>1.750,00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=HYPERLINK("https://leilaoonline.net/lote/detalhe/177134", "6008")</f>
      </c>
      <c r="B197" s="4" t="s">
        <f>=HYPERLINK("https://leilaoonline.net/lote/detalhe/177134", " 1 MOTOR DE COLHEDORA, SF, LOC. IPAUSSU 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9.000,00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=HYPERLINK("https://leilaoonline.net/lote/detalhe/177135", "6010")</f>
      </c>
      <c r="B198" s="4" t="s">
        <f>=HYPERLINK("https://leilaoonline.net/lote/detalhe/177135", " COLHEDORA J.DEERE, FR49576, LOC. IPAUSSU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=HYPERLINK("https://leilaoonline.net/lote/detalhe/177146", "6012")</f>
      </c>
      <c r="B199" s="4" t="s">
        <f>=HYPERLINK("https://leilaoonline.net/lote/detalhe/177146", " CARRETA SERV. GERAIS - 1 BEXIGA DE COMP; 1 MOTOR A DIESEL MARCA BRANCO E 1 CX DE FERRAMENTAS, FR48405, LOC. IPAUSSU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=HYPERLINK("https://leilaoonline.net/lote/detalhe/177150", "6013")</f>
      </c>
      <c r="B200" s="4" t="s">
        <f>=HYPERLINK("https://leilaoonline.net/lote/detalhe/177150", " SUCATA DE COLHEDORA, S/F, LOC, IPAUSSU ")</f>
      </c>
      <c r="C200" s="4" t="inlineStr">
        <is>
          <t>Não vendido</t>
        </is>
      </c>
      <c r="D200" s="4" t="inlineStr">
        <is>
          <t>6</t>
        </is>
      </c>
      <c r="E200" s="5" t="inlineStr">
        <is>
          <t>11.500,00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=HYPERLINK("https://leilaoonline.net/lote/detalhe/177154", "6016")</f>
      </c>
      <c r="B201" s="4" t="s">
        <f>=HYPERLINK("https://leilaoonline.net/lote/detalhe/177154", " 1 ADUBADEIRA E 1 ENLHEIRADOR PALHA, FR48119/48074, LOC. IPAUSSU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=HYPERLINK("https://leilaoonline.net/lote/detalhe/177156", "6017")</f>
      </c>
      <c r="B202" s="4" t="s">
        <f>=HYPERLINK("https://leilaoonline.net/lote/detalhe/177156", " 2 ENLHEIRADEIRA, FR48284/48283, LOC. IPAUSSU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=HYPERLINK("https://leilaoonline.net/lote/detalhe/177141", "6018")</f>
      </c>
      <c r="B203" s="4" t="s">
        <f>=HYPERLINK("https://leilaoonline.net/lote/detalhe/177141", "SUBSOLADOR ARRASTE  , FR48275, LOC. IPAUSSU ")</f>
      </c>
      <c r="C203" s="4" t="inlineStr">
        <is>
          <t>Não vendido</t>
        </is>
      </c>
      <c r="D203" s="4" t="inlineStr">
        <is>
          <t>39</t>
        </is>
      </c>
      <c r="E203" s="5" t="inlineStr">
        <is>
          <t>17.500,00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=HYPERLINK("https://leilaoonline.net/lote/detalhe/177153", "6019")</f>
      </c>
      <c r="B204" s="4" t="s">
        <f>=HYPERLINK("https://leilaoonline.net/lote/detalhe/177153", " ENFARDADEIRA CHALLENGER, ANO 2017, FR48607, LOC. IPAUSSU")</f>
      </c>
      <c r="C204" s="4" t="inlineStr">
        <is>
          <t>Não vendido</t>
        </is>
      </c>
      <c r="D204" s="4" t="inlineStr">
        <is>
          <t>124</t>
        </is>
      </c>
      <c r="E204" s="5" t="inlineStr">
        <is>
          <t>98.500,00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=HYPERLINK("https://leilaoonline.net/lote/detalhe/177166", "6020")</f>
      </c>
      <c r="B205" s="4" t="s">
        <f>=HYPERLINK("https://leilaoonline.net/lote/detalhe/177166", " ENCHADA ROTATIVA, FR48159, LOC. IPAUSSU ")</f>
      </c>
      <c r="C205" s="4" t="inlineStr">
        <is>
          <t>Não vendido</t>
        </is>
      </c>
      <c r="D205" s="4" t="inlineStr">
        <is>
          <t>21</t>
        </is>
      </c>
      <c r="E205" s="5" t="inlineStr">
        <is>
          <t>11.500,00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=HYPERLINK("https://leilaoonline.net/lote/detalhe/177159", "6021")</f>
      </c>
      <c r="B206" s="4" t="s">
        <f>=HYPERLINK("https://leilaoonline.net/lote/detalhe/177159", " S.REBOQUE RANDONSP SRCA CA ,ANO 2012/2012, AZUL, FR46929, LOC. IPAUSSU ")</f>
      </c>
      <c r="C206" s="4" t="inlineStr">
        <is>
          <t>Não vendido</t>
        </is>
      </c>
      <c r="D206" s="4" t="inlineStr">
        <is>
          <t>5</t>
        </is>
      </c>
      <c r="E206" s="5" t="inlineStr">
        <is>
          <t>29.000,00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=HYPERLINK("https://leilaoonline.net/lote/detalhe/178601", "6022")</f>
      </c>
      <c r="B207" s="4" t="s">
        <f>=HYPERLINK("https://leilaoonline.net/lote/detalhe/178601", " 7 MAQUINAS DE SOLDA, SF, LOC. IPAUSSU 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3.750,00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=HYPERLINK("https://leilaoonline.net/lote/detalhe/177155", "6023")</f>
      </c>
      <c r="B208" s="4" t="s">
        <f>=HYPERLINK("https://leilaoonline.net/lote/detalhe/177155", " SUCATA DE MOTORES ELÉTRICOS, SF, LOC. IPAUSSU ")</f>
      </c>
      <c r="C208" s="4" t="inlineStr">
        <is>
          <t>Vendido</t>
        </is>
      </c>
      <c r="D208" s="4" t="inlineStr">
        <is>
          <t>28</t>
        </is>
      </c>
      <c r="E208" s="5" t="inlineStr">
        <is>
          <t>16.500,00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=HYPERLINK("https://leilaoonline.net/lote/detalhe/177157", "6024")</f>
      </c>
      <c r="B209" s="4" t="s">
        <f>=HYPERLINK("https://leilaoonline.net/lote/detalhe/177157", " SUCATA 23 BOMBAS/VOLUTA E 28 BOMBA/CAPA NETSCH, SF, LOC. IPAUSSU ")</f>
      </c>
      <c r="C209" s="4" t="inlineStr">
        <is>
          <t>Vendido</t>
        </is>
      </c>
      <c r="D209" s="4" t="inlineStr">
        <is>
          <t>24</t>
        </is>
      </c>
      <c r="E209" s="5" t="inlineStr">
        <is>
          <t>12.000,00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=HYPERLINK("https://leilaoonline.net/lote/detalhe/177163", "6025")</f>
      </c>
      <c r="B210" s="4" t="s">
        <f>=HYPERLINK("https://leilaoonline.net/lote/detalhe/177163", " SUCATA ELÉTRICA/ELETRÔNICA - 4 AR COND; 3 FRIGROBAR, 02 BEBEDOUROS INOX, 50 REFLETORES/LUMINARIAS E 1 CONTAINER REATORES/ COBRE , SF, LOC. IPAUSSU")</f>
      </c>
      <c r="C210" s="4" t="inlineStr">
        <is>
          <t>Vendido</t>
        </is>
      </c>
      <c r="D210" s="4" t="inlineStr">
        <is>
          <t>29</t>
        </is>
      </c>
      <c r="E210" s="5" t="inlineStr">
        <is>
          <t>10.000,00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=HYPERLINK("https://leilaoonline.net/lote/detalhe/177694", "6026")</f>
      </c>
      <c r="B211" s="4" t="s">
        <f>=HYPERLINK("https://leilaoonline.net/lote/detalhe/177694", " 1 ESTEIRA APROX. 10MTS, S/ FR, LOC. PARAISO 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4.000,00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=HYPERLINK("https://leilaoonline.net/lote/detalhe/177691", "6027")</f>
      </c>
      <c r="B212" s="4" t="s">
        <f>=HYPERLINK("https://leilaoonline.net/lote/detalhe/177691", " 4 ESTEIRA APROX. 4MTS, PAT.244916/244923, LOC. PARAISO ")</f>
      </c>
      <c r="C212" s="4" t="inlineStr">
        <is>
          <t>Vendido</t>
        </is>
      </c>
      <c r="D212" s="4" t="inlineStr">
        <is>
          <t>5</t>
        </is>
      </c>
      <c r="E212" s="5" t="inlineStr">
        <is>
          <t>7.500,00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=HYPERLINK("https://leilaoonline.net/lote/detalhe/177693", "6028")</f>
      </c>
      <c r="B213" s="4" t="s">
        <f>=HYPERLINK("https://leilaoonline.net/lote/detalhe/177693", " TRANSBORDO ATA 12T, ANO 2011, FR10189, LOC. PARAISO ")</f>
      </c>
      <c r="C213" s="4" t="inlineStr">
        <is>
          <t>Vendido</t>
        </is>
      </c>
      <c r="D213" s="4" t="inlineStr">
        <is>
          <t>5</t>
        </is>
      </c>
      <c r="E213" s="5" t="inlineStr">
        <is>
          <t>12.500,00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=HYPERLINK("https://leilaoonline.net/lote/detalhe/177688", "6029")</f>
      </c>
      <c r="B214" s="4" t="s">
        <f>=HYPERLINK("https://leilaoonline.net/lote/detalhe/177688", " SUCATA- ESTRUTURA MAQ. DE COSTURA, DE BALANÇA, FUNIL, PEDRA/ESMERIL,BASE DE AÇO,PARAFUSO GD, VEDAÇÃO DE BORRACHA, 1 REDUTOR MAUSA,2 BEBEDOURO,1 PAINEL, 1 TROCADOR DE CALOR, 3 PALHETES C/MOTORES,BOMBAS E PARTES E 1 AR COND., S/ FR, LOC. PARAISO ")</f>
      </c>
      <c r="C214" s="4" t="inlineStr">
        <is>
          <t>Vendido</t>
        </is>
      </c>
      <c r="D214" s="4" t="inlineStr">
        <is>
          <t>30</t>
        </is>
      </c>
      <c r="E214" s="5" t="inlineStr">
        <is>
          <t>14.500,00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=HYPERLINK("https://leilaoonline.net/lote/detalhe/177692", "6030")</f>
      </c>
      <c r="B215" s="4" t="s">
        <f>=HYPERLINK("https://leilaoonline.net/lote/detalhe/177692", " 3 MEXEDOR/TRITURADOR/MOEDOR PARA AMOSTRA, 1 ESTEIRA COR AMARELA, PAT.245060/245061, LOC. PARAISO ")</f>
      </c>
      <c r="C215" s="4" t="inlineStr">
        <is>
          <t>Vendido</t>
        </is>
      </c>
      <c r="D215" s="4" t="inlineStr">
        <is>
          <t>26</t>
        </is>
      </c>
      <c r="E215" s="5" t="inlineStr">
        <is>
          <t>13.000,00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=HYPERLINK("https://leilaoonline.net/lote/detalhe/177705", "6031")</f>
      </c>
      <c r="B216" s="4" t="s">
        <f>=HYPERLINK("https://leilaoonline.net/lote/detalhe/177705", " TRANSBORDO ATA 12T, ANO 2012,  FR47082, LOC. PARAISO ")</f>
      </c>
      <c r="C216" s="4" t="inlineStr">
        <is>
          <t>Não vendido</t>
        </is>
      </c>
      <c r="D216" s="4" t="inlineStr">
        <is>
          <t>16</t>
        </is>
      </c>
      <c r="E216" s="5" t="inlineStr">
        <is>
          <t>24.500,00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=HYPERLINK("https://leilaoonline.net/lote/detalhe/178622", "6032")</f>
      </c>
      <c r="B217" s="4" t="s">
        <f>=HYPERLINK("https://leilaoonline.net/lote/detalhe/178622", " TRANSBORDO ATA 12T, ANO 2010, FR47045, LOC. PARAISO ")</f>
      </c>
      <c r="C217" s="4" t="inlineStr">
        <is>
          <t>Não vendido</t>
        </is>
      </c>
      <c r="D217" s="4" t="inlineStr">
        <is>
          <t>16</t>
        </is>
      </c>
      <c r="E217" s="5" t="inlineStr">
        <is>
          <t>24.500,00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=HYPERLINK("https://leilaoonline.net/lote/detalhe/177710", "6033")</f>
      </c>
      <c r="B218" s="4" t="s">
        <f>=HYPERLINK("https://leilaoonline.net/lote/detalhe/177710", " TRANSBORDO ATA 12T, FR47033, LOC. PARAISO ")</f>
      </c>
      <c r="C218" s="4" t="inlineStr">
        <is>
          <t>Não vendido</t>
        </is>
      </c>
      <c r="D218" s="4" t="inlineStr">
        <is>
          <t>16</t>
        </is>
      </c>
      <c r="E218" s="5" t="inlineStr">
        <is>
          <t>24.500,00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=HYPERLINK("https://leilaoonline.net/lote/detalhe/178611", "6034")</f>
      </c>
      <c r="B219" s="4" t="s">
        <f>=HYPERLINK("https://leilaoonline.net/lote/detalhe/178611", " TRANSBORDO ATA 12T, ANO 2012, FR107704, LOC. PARAISO ")</f>
      </c>
      <c r="C219" s="4" t="inlineStr">
        <is>
          <t>Não vendido</t>
        </is>
      </c>
      <c r="D219" s="4" t="inlineStr">
        <is>
          <t>15</t>
        </is>
      </c>
      <c r="E219" s="5" t="inlineStr">
        <is>
          <t>24.000,00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=HYPERLINK("https://leilaoonline.net/lote/detalhe/177707", "6035")</f>
      </c>
      <c r="B220" s="4" t="s">
        <f>=HYPERLINK("https://leilaoonline.net/lote/detalhe/177707", " TRANSBORDO ATA 12T, ANO 2010, FR102016, LOC. PARAISO ")</f>
      </c>
      <c r="C220" s="4" t="inlineStr">
        <is>
          <t>Não vendido</t>
        </is>
      </c>
      <c r="D220" s="4" t="inlineStr">
        <is>
          <t>17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=HYPERLINK("https://leilaoonline.net/lote/detalhe/178605", "6036")</f>
      </c>
      <c r="B221" s="4" t="s">
        <f>=HYPERLINK("https://leilaoonline.net/lote/detalhe/178605", " TANQUE DE FERRO, SF, LOC.  PARAISO ")</f>
      </c>
      <c r="C221" s="4" t="inlineStr">
        <is>
          <t>Não vendido</t>
        </is>
      </c>
      <c r="D221" s="4" t="inlineStr">
        <is>
          <t>44</t>
        </is>
      </c>
      <c r="E221" s="5" t="inlineStr">
        <is>
          <t>30.000,00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=HYPERLINK("https://leilaoonline.net/lote/detalhe/179396", "6037")</f>
      </c>
      <c r="B222" s="4" t="s">
        <f>=HYPERLINK("https://leilaoonline.net/lote/detalhe/179396", "CAMINHÃO VW/ 26.280 CRM 6X4, ANP 2013/2013, BRANCA,FR36049/361715, CARROCERIA COMBOIO, LOC. PARAISO ")</f>
      </c>
      <c r="C222" s="4" t="inlineStr">
        <is>
          <t>Não vendido</t>
        </is>
      </c>
      <c r="D222" s="4" t="inlineStr">
        <is>
          <t>72</t>
        </is>
      </c>
      <c r="E222" s="5" t="inlineStr">
        <is>
          <t>111.000,00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=HYPERLINK("https://leilaoonline.net/lote/detalhe/177695", "6038")</f>
      </c>
      <c r="B223" s="4" t="s">
        <f>=HYPERLINK("https://leilaoonline.net/lote/detalhe/177695", " BALANÇÃO - VENDA COMO SUCATA, S/FR, LOC. PARAISO 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2.150,00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=HYPERLINK("https://leilaoonline.net/lote/detalhe/177699", "6039")</f>
      </c>
      <c r="B224" s="4" t="s">
        <f>=HYPERLINK("https://leilaoonline.net/lote/detalhe/177699", " 1 COMPRESSOR E 1 PRENSA, S/FR, LOC. PARAISO ")</f>
      </c>
      <c r="C224" s="4" t="inlineStr">
        <is>
          <t>Não vendido</t>
        </is>
      </c>
      <c r="D224" s="4" t="inlineStr">
        <is>
          <t>35</t>
        </is>
      </c>
      <c r="E224" s="5" t="inlineStr">
        <is>
          <t>8.000,00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=HYPERLINK("https://leilaoonline.net/lote/detalhe/177696", "6040")</f>
      </c>
      <c r="B225" s="4" t="s">
        <f>=HYPERLINK("https://leilaoonline.net/lote/detalhe/177696", " 2 ROLOS E 35 TUBOS DE BORRACHA E 6 TANQUES PLASTICO - VENDA COMO SUCATA PLASTICA, S/FR, LOC. PARAISO ")</f>
      </c>
      <c r="C225" s="4" t="inlineStr">
        <is>
          <t>Vendido</t>
        </is>
      </c>
      <c r="D225" s="4" t="inlineStr">
        <is>
          <t>7</t>
        </is>
      </c>
      <c r="E225" s="5" t="inlineStr">
        <is>
          <t>2.400,00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=HYPERLINK("https://leilaoonline.net/lote/detalhe/177703", "6041")</f>
      </c>
      <c r="B226" s="4" t="s">
        <f>=HYPERLINK("https://leilaoonline.net/lote/detalhe/177703", " 3 TANQUES DE INOX, S/FR, LOC. PARAISO ")</f>
      </c>
      <c r="C226" s="4" t="inlineStr">
        <is>
          <t>Vendido</t>
        </is>
      </c>
      <c r="D226" s="4" t="inlineStr">
        <is>
          <t>31</t>
        </is>
      </c>
      <c r="E226" s="5" t="inlineStr">
        <is>
          <t>11.000,00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=HYPERLINK("https://leilaoonline.net/lote/detalhe/177701", "6042")</f>
      </c>
      <c r="B227" s="4" t="s">
        <f>=HYPERLINK("https://leilaoonline.net/lote/detalhe/177701", " 1 MOTOBOMBA IMBIL, 1 ESCADA E 8 TUBOS DE AÇO, S/FR, LOC. PARAISO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5.000,00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=HYPERLINK("https://leilaoonline.net/lote/detalhe/177702", "6043")</f>
      </c>
      <c r="B228" s="4" t="s">
        <f>=HYPERLINK("https://leilaoonline.net/lote/detalhe/177702", " 1 TANQUE DE FIBRA 12000LTS, S/FR, LOC. PARAISO ")</f>
      </c>
      <c r="C228" s="4" t="inlineStr">
        <is>
          <t>Vendido</t>
        </is>
      </c>
      <c r="D228" s="4" t="inlineStr">
        <is>
          <t>10</t>
        </is>
      </c>
      <c r="E228" s="5" t="inlineStr">
        <is>
          <t>5.000,00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=HYPERLINK("https://leilaoonline.net/lote/detalhe/177689", "6044")</f>
      </c>
      <c r="B229" s="4" t="s">
        <f>=HYPERLINK("https://leilaoonline.net/lote/detalhe/177689", " 1 TANQUE DE FIBRA 12000LTS, S/FR, LOC. PARAISO ")</f>
      </c>
      <c r="C229" s="4" t="inlineStr">
        <is>
          <t>Vendido</t>
        </is>
      </c>
      <c r="D229" s="4" t="inlineStr">
        <is>
          <t>10</t>
        </is>
      </c>
      <c r="E229" s="5" t="inlineStr">
        <is>
          <t>5.000,00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=HYPERLINK("https://leilaoonline.net/lote/detalhe/177690", "6045")</f>
      </c>
      <c r="B230" s="4" t="s">
        <f>=HYPERLINK("https://leilaoonline.net/lote/detalhe/177690", " COLHEDORA J.DEERE, FR49569, LOC. PARAISO ")</f>
      </c>
      <c r="C230" s="4" t="inlineStr">
        <is>
          <t>Não vendido</t>
        </is>
      </c>
      <c r="D230" s="4" t="inlineStr">
        <is>
          <t>3</t>
        </is>
      </c>
      <c r="E230" s="5" t="inlineStr">
        <is>
          <t>27.000,00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=HYPERLINK("https://leilaoonline.net/lote/detalhe/177698", "6046")</f>
      </c>
      <c r="B231" s="4" t="s">
        <f>=HYPERLINK("https://leilaoonline.net/lote/detalhe/177698", " COLHEDORA J.DEERE, FR128525, LOC. PARAISO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=HYPERLINK("https://leilaoonline.net/lote/detalhe/178645", "6055")</f>
      </c>
      <c r="B232" s="4" t="s">
        <f>=HYPERLINK("https://leilaoonline.net/lote/detalhe/178645", "SUCATA DE CAMBIO VOLVO VN260,S/FR ( SERA VENDIDO COMO SUCATA ) , LOC. BARRA ")</f>
      </c>
      <c r="C232" s="4" t="inlineStr">
        <is>
          <t>Não vendido</t>
        </is>
      </c>
      <c r="D232" s="4" t="inlineStr">
        <is>
          <t>6</t>
        </is>
      </c>
      <c r="E232" s="5" t="inlineStr">
        <is>
          <t>2.750,00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=HYPERLINK("https://leilaoonline.net/lote/detalhe/179634", "6056")</f>
      </c>
      <c r="B233" s="4" t="s">
        <f>=HYPERLINK("https://leilaoonline.net/lote/detalhe/179634", "LOTE COM 117 PNEUS USADOS, S/ FR, LOC.  BARRA")</f>
      </c>
      <c r="C233" s="4" t="inlineStr">
        <is>
          <t>Vendido</t>
        </is>
      </c>
      <c r="D233" s="4" t="inlineStr">
        <is>
          <t>46</t>
        </is>
      </c>
      <c r="E233" s="5" t="inlineStr">
        <is>
          <t>28.500,00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=HYPERLINK("https://leilaoonline.net/lote/detalhe/179652", "6057")</f>
      </c>
      <c r="B234" s="4" t="s">
        <f>=HYPERLINK("https://leilaoonline.net/lote/detalhe/179652", "LOTE CONTENDO 4 MUFLA E 3 CORREIA DO MOTOR MTU MARITIMO, LOC. DIAMANTE 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2.750,00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=HYPERLINK("https://leilaoonline.net/lote/detalhe/178599", "7000")</f>
      </c>
      <c r="B235" s="4" t="s">
        <f>=HYPERLINK("https://leilaoonline.net/lote/detalhe/178599", " TRANSBORDO ATA 12000 12T, ANO 2012, FR112493, LOC. MUNDIAL ")</f>
      </c>
      <c r="C235" s="4" t="inlineStr">
        <is>
          <t>Não vendido</t>
        </is>
      </c>
      <c r="D235" s="4" t="inlineStr">
        <is>
          <t>20</t>
        </is>
      </c>
      <c r="E235" s="5" t="inlineStr">
        <is>
          <t>25.000,00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=HYPERLINK("https://leilaoonline.net/lote/detalhe/177948", "7001")</f>
      </c>
      <c r="B236" s="4" t="s">
        <f>=HYPERLINK("https://leilaoonline.net/lote/detalhe/177948", " TRANSBORDO ARR 12000KG 4700X3550MM, ANO 2015, FR112628, LOC. MUNDIAL ")</f>
      </c>
      <c r="C236" s="4" t="inlineStr">
        <is>
          <t>Não vendido</t>
        </is>
      </c>
      <c r="D236" s="4" t="inlineStr">
        <is>
          <t>19</t>
        </is>
      </c>
      <c r="E236" s="5" t="inlineStr">
        <is>
          <t>25.000,00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=HYPERLINK("https://leilaoonline.net/lote/detalhe/178602", "7002")</f>
      </c>
      <c r="B237" s="4" t="s">
        <f>=HYPERLINK("https://leilaoonline.net/lote/detalhe/178602", " TRANSBORDO ATA 12000 12T, ANO 2012, FR93870 , LOC. MUNDIAL ")</f>
      </c>
      <c r="C237" s="4" t="inlineStr">
        <is>
          <t>Vendido</t>
        </is>
      </c>
      <c r="D237" s="4" t="inlineStr">
        <is>
          <t>19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=HYPERLINK("https://leilaoonline.net/lote/detalhe/177986", "7003")</f>
      </c>
      <c r="B238" s="4" t="s">
        <f>=HYPERLINK("https://leilaoonline.net/lote/detalhe/177986", " PLANTADORA C/ ADUB  DMB PCP6000 N/S 74560/ ANO 2010, FR112424, LOC. MUNDIAL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=HYPERLINK("https://leilaoonline.net/lote/detalhe/177954", "7004")</f>
      </c>
      <c r="B239" s="4" t="s">
        <f>=HYPERLINK("https://leilaoonline.net/lote/detalhe/177954", " TRATOR VALTRA BH210 FROTA 188932 ANO 2015, FR188932, LOC. MUNDIAL ")</f>
      </c>
      <c r="C239" s="4" t="inlineStr">
        <is>
          <t>Vendido</t>
        </is>
      </c>
      <c r="D239" s="4" t="inlineStr">
        <is>
          <t>152</t>
        </is>
      </c>
      <c r="E239" s="5" t="inlineStr">
        <is>
          <t>211.000,00</t>
        </is>
      </c>
      <c r="F239" s="4" t="inlineStr">
        <is>
          <t>2000.00</t>
        </is>
      </c>
    </row>
    <row collapsed="false" customFormat="false" customHeight="false" hidden="false" ht="12.1" outlineLevel="0" r="240">
      <c r="A240" s="5" t="s">
        <f>=HYPERLINK("https://leilaoonline.net/lote/detalhe/178627", "7006")</f>
      </c>
      <c r="B240" s="4" t="s">
        <f>=HYPERLINK("https://leilaoonline.net/lote/detalhe/178627", " CAMINHAO SCANIA/R113 E 6X4 360, ANO 1993/1993, FR45024, LOC. MUNDIAL ")</f>
      </c>
      <c r="C240" s="4" t="inlineStr">
        <is>
          <t>Vendido</t>
        </is>
      </c>
      <c r="D240" s="4" t="inlineStr">
        <is>
          <t>19</t>
        </is>
      </c>
      <c r="E240" s="5" t="inlineStr">
        <is>
          <t>24.000,00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=HYPERLINK("https://leilaoonline.net/lote/detalhe/177997", "7007")</f>
      </c>
      <c r="B241" s="4" t="s">
        <f>=HYPERLINK("https://leilaoonline.net/lote/detalhe/177997", " TRATOR M.F- 4291, ANO 2011, FR112379, LOC. GASA")</f>
      </c>
      <c r="C241" s="4" t="inlineStr">
        <is>
          <t>Vendido</t>
        </is>
      </c>
      <c r="D241" s="4" t="inlineStr">
        <is>
          <t>59</t>
        </is>
      </c>
      <c r="E241" s="5" t="inlineStr">
        <is>
          <t>100.000,00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=HYPERLINK("https://leilaoonline.net/lote/detalhe/177960", "7008")</f>
      </c>
      <c r="B242" s="4" t="s">
        <f>=HYPERLINK("https://leilaoonline.net/lote/detalhe/177960", " IMPLEMENTO PREP SOLO MAFES PENTA, ANO 2013, FR361026, LOC. GASA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2.500,00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=HYPERLINK("https://leilaoonline.net/lote/detalhe/177968", "7009")</f>
      </c>
      <c r="B243" s="4" t="s">
        <f>=HYPERLINK("https://leilaoonline.net/lote/detalhe/177968", " TRATOR CASE MX 235, ANO 2014, FR90998, LOC. GASA ")</f>
      </c>
      <c r="C243" s="4" t="inlineStr">
        <is>
          <t>Não vendido</t>
        </is>
      </c>
      <c r="D243" s="4" t="inlineStr">
        <is>
          <t>67</t>
        </is>
      </c>
      <c r="E243" s="5" t="inlineStr">
        <is>
          <t>81.000,00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=HYPERLINK("https://leilaoonline.net/lote/detalhe/178608", "7010")</f>
      </c>
      <c r="B244" s="4" t="s">
        <f>=HYPERLINK("https://leilaoonline.net/lote/detalhe/178608", " ONIBUS M. BENZ OF 1318, ANO 1992/1993, BEGE, FR81355, LOC. GASA ")</f>
      </c>
      <c r="C244" s="4" t="inlineStr">
        <is>
          <t>Não vendido</t>
        </is>
      </c>
      <c r="D244" s="4" t="inlineStr">
        <is>
          <t>18</t>
        </is>
      </c>
      <c r="E244" s="5" t="inlineStr">
        <is>
          <t>28.000,00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=HYPERLINK("https://leilaoonline.net/lote/detalhe/177998", "7011")</f>
      </c>
      <c r="B245" s="4" t="s">
        <f>=HYPERLINK("https://leilaoonline.net/lote/detalhe/177998", " TRATOR CASE MX 235 ANO 2014 FROTA 90957, FR90957, LOC. GASA ")</f>
      </c>
      <c r="C245" s="4" t="inlineStr">
        <is>
          <t>Vendido</t>
        </is>
      </c>
      <c r="D245" s="4" t="inlineStr">
        <is>
          <t>70</t>
        </is>
      </c>
      <c r="E245" s="5" t="inlineStr">
        <is>
          <t>94.000,00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=HYPERLINK("https://leilaoonline.net/lote/detalhe/177993", "7012")</f>
      </c>
      <c r="B246" s="4" t="s">
        <f>=HYPERLINK("https://leilaoonline.net/lote/detalhe/177993", " TRATOR NEW HOLLAND T8.295, ANO 2014, FR88468, LOC. GASA ")</f>
      </c>
      <c r="C246" s="4" t="inlineStr">
        <is>
          <t>Vendido</t>
        </is>
      </c>
      <c r="D246" s="4" t="inlineStr">
        <is>
          <t>79</t>
        </is>
      </c>
      <c r="E246" s="5" t="inlineStr">
        <is>
          <t>120.000,00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=HYPERLINK("https://leilaoonline.net/lote/detalhe/178626", "7015")</f>
      </c>
      <c r="B247" s="4" t="s">
        <f>=HYPERLINK("https://leilaoonline.net/lote/detalhe/178626", " TRATOR JOHN DEERE 7195J 4X4, ANO 2012, FR49556, LOC. GASA ")</f>
      </c>
      <c r="C247" s="4" t="inlineStr">
        <is>
          <t>Vendido</t>
        </is>
      </c>
      <c r="D247" s="4" t="inlineStr">
        <is>
          <t>75</t>
        </is>
      </c>
      <c r="E247" s="5" t="inlineStr">
        <is>
          <t>89.000,00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=HYPERLINK("https://leilaoonline.net/lote/detalhe/177995", "7016")</f>
      </c>
      <c r="B248" s="4" t="s">
        <f>=HYPERLINK("https://leilaoonline.net/lote/detalhe/177995", " CAMINHAO SCANIA/ R113 E 6X4 360, ANO 1993/1993, BRANCA, CAR. TRANSB., FR52848, LOC. GASA ")</f>
      </c>
      <c r="C248" s="4" t="inlineStr">
        <is>
          <t>Não vendido</t>
        </is>
      </c>
      <c r="D248" s="4" t="inlineStr">
        <is>
          <t>30</t>
        </is>
      </c>
      <c r="E248" s="5" t="inlineStr">
        <is>
          <t>69.000,00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=HYPERLINK("https://leilaoonline.net/lote/detalhe/177999", "7017")</f>
      </c>
      <c r="B249" s="4" t="s">
        <f>=HYPERLINK("https://leilaoonline.net/lote/detalhe/177999", " CAMINHAO VW/ 31. 320 CNC 6X4, ANO 2010/2010, BRANCA, FR 88181, CAR, TRANSB- S/MOTOR E CAMBIO, LOC. GASA ")</f>
      </c>
      <c r="C249" s="4" t="inlineStr">
        <is>
          <t>Não vendido</t>
        </is>
      </c>
      <c r="D249" s="4" t="inlineStr">
        <is>
          <t>37</t>
        </is>
      </c>
      <c r="E249" s="5" t="inlineStr">
        <is>
          <t>61.000,00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=HYPERLINK("https://leilaoonline.net/lote/detalhe/177965", "7018")</f>
      </c>
      <c r="B250" s="4" t="s">
        <f>=HYPERLINK("https://leilaoonline.net/lote/detalhe/177965", " CAMINHAO M. BENZ/L 1313, ANO 1980/1980, AZUL, TOCO FR 81402, LOC. GASA ")</f>
      </c>
      <c r="C250" s="4" t="inlineStr">
        <is>
          <t>Não vendido</t>
        </is>
      </c>
      <c r="D250" s="4" t="inlineStr">
        <is>
          <t>7</t>
        </is>
      </c>
      <c r="E250" s="5" t="inlineStr">
        <is>
          <t>26.000,00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=HYPERLINK("https://leilaoonline.net/lote/detalhe/177985", "7019")</f>
      </c>
      <c r="B251" s="4" t="s">
        <f>=HYPERLINK("https://leilaoonline.net/lote/detalhe/177985", " TRATOR AGRI PNEU 225CV, ANO 2016, FR115699, LOC. GASA ")</f>
      </c>
      <c r="C251" s="4" t="inlineStr">
        <is>
          <t>Não vendido</t>
        </is>
      </c>
      <c r="D251" s="4" t="inlineStr">
        <is>
          <t>47</t>
        </is>
      </c>
      <c r="E251" s="5" t="inlineStr">
        <is>
          <t>61.000,00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=HYPERLINK("https://leilaoonline.net/lote/detalhe/178895", "7026")</f>
      </c>
      <c r="B252" s="4" t="s">
        <f>=HYPERLINK("https://leilaoonline.net/lote/detalhe/178895", " 13 SUCATA DE PAINEL ELETRICO, LOC. PASSATEMPO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=HYPERLINK("https://leilaoonline.net/lote/detalhe/178891", "7027")</f>
      </c>
      <c r="B253" s="4" t="s">
        <f>=HYPERLINK("https://leilaoonline.net/lote/detalhe/178891", " ELETROIMA, ELI-MR-0001, LOC. PASSATEMPO ")</f>
      </c>
      <c r="C253" s="4" t="inlineStr">
        <is>
          <t>Vendido</t>
        </is>
      </c>
      <c r="D253" s="4" t="inlineStr">
        <is>
          <t>38</t>
        </is>
      </c>
      <c r="E253" s="5" t="inlineStr">
        <is>
          <t>26.750,00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=HYPERLINK("https://leilaoonline.net/lote/detalhe/178866", "7028")</f>
      </c>
      <c r="B254" s="4" t="s">
        <f>=HYPERLINK("https://leilaoonline.net/lote/detalhe/178866", " TRANSFORMADOR A SECO, S/FR, LOC.PASSATEMPO ")</f>
      </c>
      <c r="C254" s="4" t="inlineStr">
        <is>
          <t>Vendido</t>
        </is>
      </c>
      <c r="D254" s="4" t="inlineStr">
        <is>
          <t>40</t>
        </is>
      </c>
      <c r="E254" s="5" t="inlineStr">
        <is>
          <t>20.500,00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=HYPERLINK("https://leilaoonline.net/lote/detalhe/178857", "7029")</f>
      </c>
      <c r="B255" s="4" t="s">
        <f>=HYPERLINK("https://leilaoonline.net/lote/detalhe/178857", " 2 VALVULA MULTIVIA DE VAPOR , S/FR, LOC. PASSATEMPO ")</f>
      </c>
      <c r="C255" s="4" t="inlineStr">
        <is>
          <t>Vendido</t>
        </is>
      </c>
      <c r="D255" s="4" t="inlineStr">
        <is>
          <t>2</t>
        </is>
      </c>
      <c r="E255" s="5" t="inlineStr">
        <is>
          <t>2.750,00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=HYPERLINK("https://leilaoonline.net/lote/detalhe/178898", "7030")</f>
      </c>
      <c r="B256" s="4" t="s">
        <f>=HYPERLINK("https://leilaoonline.net/lote/detalhe/178898", " GERADOR A DIESEL, MOTOR DE GERADOR A DIESEL, FR5005113 / MTD-PT-0001, LOC. PASSATEMPO ")</f>
      </c>
      <c r="C256" s="4" t="inlineStr">
        <is>
          <t>Vendido</t>
        </is>
      </c>
      <c r="D256" s="4" t="inlineStr">
        <is>
          <t>23</t>
        </is>
      </c>
      <c r="E256" s="5" t="inlineStr">
        <is>
          <t>14.750,00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=HYPERLINK("https://leilaoonline.net/lote/detalhe/178872", "7031")</f>
      </c>
      <c r="B257" s="4" t="s">
        <f>=HYPERLINK("https://leilaoonline.net/lote/detalhe/178872", " 2 REDUTORES, RED-PT-0012, LOC. PASSATEMPO ")</f>
      </c>
      <c r="C257" s="4" t="inlineStr">
        <is>
          <t>Não vendido</t>
        </is>
      </c>
      <c r="D257" s="4" t="inlineStr">
        <is>
          <t>8</t>
        </is>
      </c>
      <c r="E257" s="5" t="inlineStr">
        <is>
          <t>7.250,00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=HYPERLINK("https://leilaoonline.net/lote/detalhe/178904", "7032")</f>
      </c>
      <c r="B258" s="4" t="s">
        <f>=HYPERLINK("https://leilaoonline.net/lote/detalhe/178904", " 5 GARFOS PARA EMPILHADEIRA, S/FR, LOC. PASSATEMPO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2.500,00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=HYPERLINK("https://leilaoonline.net/lote/detalhe/178921", "7033")</f>
      </c>
      <c r="B259" s="4" t="s">
        <f>=HYPERLINK("https://leilaoonline.net/lote/detalhe/178921", " 03 EQUIPAMENTOS INDUSTRIAL (2 TIPO PICADOR E UMA VALVULA), S/FR, LOC. PASSATEMPO ")</f>
      </c>
      <c r="C259" s="4" t="inlineStr">
        <is>
          <t>Não vendido</t>
        </is>
      </c>
      <c r="D259" s="4" t="inlineStr">
        <is>
          <t>43</t>
        </is>
      </c>
      <c r="E259" s="5" t="inlineStr">
        <is>
          <t>25.750,00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=HYPERLINK("https://leilaoonline.net/lote/detalhe/178899", "7034")</f>
      </c>
      <c r="B260" s="4" t="s">
        <f>=HYPERLINK("https://leilaoonline.net/lote/detalhe/178899", " 02 IMPRESSORA, HP DESIGNJET, 8497/7761, LOC. PASSATEMPO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2.000,00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=HYPERLINK("https://leilaoonline.net/lote/detalhe/178885", "7036")</f>
      </c>
      <c r="B261" s="4" t="s">
        <f>=HYPERLINK("https://leilaoonline.net/lote/detalhe/178885", " TRATOR MCA VALTRA MOD BH 180, ANO 2007, FR5002495, LOC. PASSATEMPO ")</f>
      </c>
      <c r="C261" s="4" t="inlineStr">
        <is>
          <t>Não vendido</t>
        </is>
      </c>
      <c r="D261" s="4" t="inlineStr">
        <is>
          <t>38</t>
        </is>
      </c>
      <c r="E261" s="5" t="inlineStr">
        <is>
          <t>73.000,00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=HYPERLINK("https://leilaoonline.net/lote/detalhe/178817", "7037")</f>
      </c>
      <c r="B262" s="4" t="s">
        <f>=HYPERLINK("https://leilaoonline.net/lote/detalhe/178817", " 02 ROTOR CALDEIRA, S/FR, LOC. RIO BRILHANTE ")</f>
      </c>
      <c r="C262" s="4" t="inlineStr">
        <is>
          <t>Não vendido</t>
        </is>
      </c>
      <c r="D262" s="4" t="inlineStr">
        <is>
          <t>18</t>
        </is>
      </c>
      <c r="E262" s="5" t="inlineStr">
        <is>
          <t>9.500,00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=HYPERLINK("https://leilaoonline.net/lote/detalhe/178819", "7038")</f>
      </c>
      <c r="B263" s="4" t="s">
        <f>=HYPERLINK("https://leilaoonline.net/lote/detalhe/178819", " ROTOR CALDEIRA, S/ FR, LOC. RIO BRILHANTE ")</f>
      </c>
      <c r="C263" s="4" t="inlineStr">
        <is>
          <t>Não vendido</t>
        </is>
      </c>
      <c r="D263" s="4" t="inlineStr">
        <is>
          <t>14</t>
        </is>
      </c>
      <c r="E263" s="5" t="inlineStr">
        <is>
          <t>8.250,00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=HYPERLINK("https://leilaoonline.net/lote/detalhe/178818", "7039")</f>
      </c>
      <c r="B264" s="4" t="s">
        <f>=HYPERLINK("https://leilaoonline.net/lote/detalhe/178818", " 02 CONDENSADOR BAROMETRICO 30 T H N, 299265/CON-RB-0016, LOC. RIO BRILHANTE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5.000,00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=HYPERLINK("https://leilaoonline.net/lote/detalhe/178809", "7040")</f>
      </c>
      <c r="B265" s="4" t="s">
        <f>=HYPERLINK("https://leilaoonline.net/lote/detalhe/178809", " 02 CONDENSADOR BAROMETRICO 30 T H N, 299173/299875, LOC. RIO BRILHANTE ")</f>
      </c>
      <c r="C265" s="4" t="inlineStr">
        <is>
          <t>Não vendido</t>
        </is>
      </c>
      <c r="D265" s="4" t="inlineStr">
        <is>
          <t>1</t>
        </is>
      </c>
      <c r="E265" s="5" t="inlineStr">
        <is>
          <t>5.000,00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=HYPERLINK("https://leilaoonline.net/lote/detalhe/178812", "7041")</f>
      </c>
      <c r="B266" s="4" t="s">
        <f>=HYPERLINK("https://leilaoonline.net/lote/detalhe/178812", " TANQUE DE AÇO, TQE-RB-0048, LOC. RIO BRILHANTE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=HYPERLINK("https://leilaoonline.net/lote/detalhe/178820", "7042")</f>
      </c>
      <c r="B267" s="4" t="s">
        <f>=HYPERLINK("https://leilaoonline.net/lote/detalhe/178820", " PONTE ROLANTE 2 TON., PATR. 277262, LOC. RIO BRILHANTE ")</f>
      </c>
      <c r="C267" s="4" t="inlineStr">
        <is>
          <t>Não vendido</t>
        </is>
      </c>
      <c r="D267" s="4" t="inlineStr">
        <is>
          <t>28</t>
        </is>
      </c>
      <c r="E267" s="5" t="inlineStr">
        <is>
          <t>12.750,00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=HYPERLINK("https://leilaoonline.net/lote/detalhe/178795", "7043")</f>
      </c>
      <c r="B268" s="4" t="s">
        <f>=HYPERLINK("https://leilaoonline.net/lote/detalhe/178795", " PENEIRA ROTATIVA CALDO 1, PER-RB-0005, LOC. RIO BRILHANTE ")</f>
      </c>
      <c r="C268" s="4" t="inlineStr">
        <is>
          <t>Não vendido</t>
        </is>
      </c>
      <c r="D268" s="4" t="inlineStr">
        <is>
          <t>8</t>
        </is>
      </c>
      <c r="E268" s="5" t="inlineStr">
        <is>
          <t>6.750,00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=HYPERLINK("https://leilaoonline.net/lote/detalhe/178822", "7044")</f>
      </c>
      <c r="B269" s="4" t="s">
        <f>=HYPERLINK("https://leilaoonline.net/lote/detalhe/178822", " PENEIRA ROTATIVA CALDO 2, 295632, LOC. RIO BRILHANTE ")</f>
      </c>
      <c r="C269" s="4" t="inlineStr">
        <is>
          <t>Não vendido</t>
        </is>
      </c>
      <c r="D269" s="4" t="inlineStr">
        <is>
          <t>21</t>
        </is>
      </c>
      <c r="E269" s="5" t="inlineStr">
        <is>
          <t>10.750,00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=HYPERLINK("https://leilaoonline.net/lote/detalhe/178815", "7045")</f>
      </c>
      <c r="B270" s="4" t="s">
        <f>=HYPERLINK("https://leilaoonline.net/lote/detalhe/178815", " 02 ESTRUTURA DE TROCADOR DE CALOR DORNA PRIMARIA DE FERMENTAÇÃO,TCP-RB-0010/TCP-RB-0009, LOC. RIO BRILHANTE  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=HYPERLINK("https://leilaoonline.net/lote/detalhe/178811", "7046")</f>
      </c>
      <c r="B271" s="4" t="s">
        <f>=HYPERLINK("https://leilaoonline.net/lote/detalhe/178811", " 03 CAPOTA DE FIBRA, S/ FR, LOC. RIO BRILHANTE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1.500,00</t>
        </is>
      </c>
      <c r="F271" s="4" t="inlineStr">
        <is>
          <t>250.00</t>
        </is>
      </c>
    </row>
    <row collapsed="false" customFormat="false" customHeight="false" hidden="false" ht="12.1" outlineLevel="0" r="272">
      <c r="A272" s="5" t="s">
        <f>=HYPERLINK("https://leilaoonline.net/lote/detalhe/178790", "7047")</f>
      </c>
      <c r="B272" s="4" t="s">
        <f>=HYPERLINK("https://leilaoonline.net/lote/detalhe/178790", " 05 MOTOBOMBA, IRRIGABRÁS, FR9005029/FR9005031/FR9003032/FR9005015/FR5005721, LOC. RIO BRILHANTE ")</f>
      </c>
      <c r="C272" s="4" t="inlineStr">
        <is>
          <t>Não vendido</t>
        </is>
      </c>
      <c r="D272" s="4" t="inlineStr">
        <is>
          <t>1</t>
        </is>
      </c>
      <c r="E272" s="5" t="inlineStr">
        <is>
          <t>5.250,00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=HYPERLINK("https://leilaoonline.net/lote/detalhe/178799", "7048")</f>
      </c>
      <c r="B273" s="4" t="s">
        <f>=HYPERLINK("https://leilaoonline.net/lote/detalhe/178799", " 02 ARADOS, FR9003139/FR9003140, LOC. RIO BRILHANTE 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5.500,00</t>
        </is>
      </c>
      <c r="F273" s="4" t="inlineStr">
        <is>
          <t>250.00</t>
        </is>
      </c>
    </row>
    <row collapsed="false" customFormat="false" customHeight="false" hidden="false" ht="12.1" outlineLevel="0" r="274">
      <c r="A274" s="5" t="s">
        <f>=HYPERLINK("https://leilaoonline.net/lote/detalhe/178821", "7049")</f>
      </c>
      <c r="B274" s="4" t="s">
        <f>=HYPERLINK("https://leilaoonline.net/lote/detalhe/178821", " 04 CAIXA DE VENTILAÇÃO, S/FR,  LOC. RIO BRILHANTE ")</f>
      </c>
      <c r="C274" s="4" t="inlineStr">
        <is>
          <t>Não vendido</t>
        </is>
      </c>
      <c r="D274" s="4" t="inlineStr">
        <is>
          <t>9</t>
        </is>
      </c>
      <c r="E274" s="5" t="inlineStr">
        <is>
          <t>7.000,00</t>
        </is>
      </c>
      <c r="F274" s="4" t="inlineStr">
        <is>
          <t>250.00</t>
        </is>
      </c>
    </row>
    <row collapsed="false" customFormat="false" customHeight="false" hidden="false" ht="12.1" outlineLevel="0" r="275">
      <c r="A275" s="5" t="s">
        <f>=HYPERLINK("https://leilaoonline.net/lote/detalhe/178808", "7050")</f>
      </c>
      <c r="B275" s="4" t="s">
        <f>=HYPERLINK("https://leilaoonline.net/lote/detalhe/178808", " SUCATA DE EIXO COM APROX. 50 UND., S/FR, LOC. RIO BRILHANTE ")</f>
      </c>
      <c r="C275" s="4" t="inlineStr">
        <is>
          <t>Vendido</t>
        </is>
      </c>
      <c r="D275" s="4" t="inlineStr">
        <is>
          <t>20</t>
        </is>
      </c>
      <c r="E275" s="5" t="inlineStr">
        <is>
          <t>7.750,00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=HYPERLINK("https://leilaoonline.net/lote/detalhe/178814", "7051")</f>
      </c>
      <c r="B276" s="4" t="s">
        <f>=HYPERLINK("https://leilaoonline.net/lote/detalhe/178814", "  APROX. 35 PISTÃO DIVERSOS, S/ FR, LOC. RIO BRILHANTE ")</f>
      </c>
      <c r="C276" s="4" t="inlineStr">
        <is>
          <t>Vendido</t>
        </is>
      </c>
      <c r="D276" s="4" t="inlineStr">
        <is>
          <t>39</t>
        </is>
      </c>
      <c r="E276" s="5" t="inlineStr">
        <is>
          <t>13.750,00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=HYPERLINK("https://leilaoonline.net/lote/detalhe/178763", "8000")</f>
      </c>
      <c r="B277" s="4" t="s">
        <f>=HYPERLINK("https://leilaoonline.net/lote/detalhe/178763", " 03 CULTIVADORES, FR4445230/FR4445018/FR4445231, LOC. CAARAPÓ")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=HYPERLINK("https://leilaoonline.net/lote/detalhe/178788", "8001")</f>
      </c>
      <c r="B278" s="4" t="s">
        <f>=HYPERLINK("https://leilaoonline.net/lote/detalhe/178788", " 03 CULTIVADORES, FR4445228/FR4445262/FR4445263, LOC.CAARAPÓ")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5.000,00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=HYPERLINK("https://leilaoonline.net/lote/detalhe/178779", "8004")</f>
      </c>
      <c r="B279" s="4" t="s">
        <f>=HYPERLINK("https://leilaoonline.net/lote/detalhe/178779", " LOTE 2 CARRETA DE PLANTIO PLATAFORMA, FR4445337/FR4445341, LOC. CAARAPÓ ")</f>
      </c>
      <c r="C279" s="4" t="inlineStr">
        <is>
          <t>Não vendido</t>
        </is>
      </c>
      <c r="D279" s="4" t="inlineStr">
        <is>
          <t>1</t>
        </is>
      </c>
      <c r="E279" s="5" t="inlineStr">
        <is>
          <t>3.000,00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=HYPERLINK("https://leilaoonline.net/lote/detalhe/178747", "8005")</f>
      </c>
      <c r="B280" s="4" t="s">
        <f>=HYPERLINK("https://leilaoonline.net/lote/detalhe/178747", " TRANS.TESTON PT22000 22 T, ANO 2017. - FR. 4445274. - LOC. CAARAPÓ")</f>
      </c>
      <c r="C280" s="4" t="inlineStr">
        <is>
          <t>Não vendido</t>
        </is>
      </c>
      <c r="D280" s="4" t="inlineStr">
        <is>
          <t>46</t>
        </is>
      </c>
      <c r="E280" s="5" t="inlineStr">
        <is>
          <t>52.000,00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=HYPERLINK("https://leilaoonline.net/lote/detalhe/178754", "8006")</f>
      </c>
      <c r="B281" s="4" t="s">
        <f>=HYPERLINK("https://leilaoonline.net/lote/detalhe/178754", " CAMINHÃO VOLVO FM 500 6X4T AUTOMÁTICO, ANO 2013/2013. - FR. 4415030. - LOC. CAARAPÓ")</f>
      </c>
      <c r="C281" s="4" t="inlineStr">
        <is>
          <t>Vendido</t>
        </is>
      </c>
      <c r="D281" s="4" t="inlineStr">
        <is>
          <t>17</t>
        </is>
      </c>
      <c r="E281" s="5" t="inlineStr">
        <is>
          <t>96.000,00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=HYPERLINK("https://leilaoonline.net/lote/detalhe/178741", "8007")</f>
      </c>
      <c r="B282" s="4" t="s">
        <f>=HYPERLINK("https://leilaoonline.net/lote/detalhe/178741", " CAMINHÃO VOLVO FM12 380 6X4T, ANO 2005/2005, BRANCO. - FR. 4410752. - LOC. CAARAPÓ")</f>
      </c>
      <c r="C282" s="4" t="inlineStr">
        <is>
          <t>Vendido</t>
        </is>
      </c>
      <c r="D282" s="4" t="inlineStr">
        <is>
          <t>17</t>
        </is>
      </c>
      <c r="E282" s="5" t="inlineStr">
        <is>
          <t>41.000,00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=HYPERLINK("https://leilaoonline.net/lote/detalhe/178745", "8008")</f>
      </c>
      <c r="B283" s="4" t="s">
        <f>=HYPERLINK("https://leilaoonline.net/lote/detalhe/178745", " REBOQUE 4E USICAMP  E2E2 1180 12,5M, ANO 2009/2009, AZUL. - FR. 4455130. - LOC. CAARAPÓ")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25.000,00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=HYPERLINK("https://leilaoonline.net/lote/detalhe/178740", "8009")</f>
      </c>
      <c r="B284" s="4" t="s">
        <f>=HYPERLINK("https://leilaoonline.net/lote/detalhe/178740", " TRANSBORDO CIVEMASA 10 T, ANO 2011. - FR. 4445152. - LOC. CAARAPÓ")</f>
      </c>
      <c r="C284" s="4" t="inlineStr">
        <is>
          <t>Vendido</t>
        </is>
      </c>
      <c r="D284" s="4" t="inlineStr">
        <is>
          <t>28</t>
        </is>
      </c>
      <c r="E284" s="5" t="inlineStr">
        <is>
          <t>27.000,00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=HYPERLINK("https://leilaoonline.net/lote/detalhe/178772", "8011")</f>
      </c>
      <c r="B285" s="4" t="s">
        <f>=HYPERLINK("https://leilaoonline.net/lote/detalhe/178772", " CAMINHÃO MERCEDES BENZ ATEGO 1719, ANO 2016/2016, BRANCO. (QUEIMADO). - FR.  4415054. - LOC. CAARAPÓ")</f>
      </c>
      <c r="C285" s="4" t="inlineStr">
        <is>
          <t>Vendido</t>
        </is>
      </c>
      <c r="D285" s="4" t="inlineStr">
        <is>
          <t>5</t>
        </is>
      </c>
      <c r="E285" s="5" t="inlineStr">
        <is>
          <t>17.000,00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=HYPERLINK("https://leilaoonline.net/lote/detalhe/178762", "8012")</f>
      </c>
      <c r="B286" s="4" t="s">
        <f>=HYPERLINK("https://leilaoonline.net/lote/detalhe/178762", " HIDROHOLL SETORIAL, FR4445272, . - LOC. CAARAPÓ")</f>
      </c>
      <c r="C286" s="4" t="inlineStr">
        <is>
          <t>Não vendido</t>
        </is>
      </c>
      <c r="D286" s="4" t="inlineStr">
        <is>
          <t>21</t>
        </is>
      </c>
      <c r="E286" s="5" t="inlineStr">
        <is>
          <t>8.000,00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=HYPERLINK("https://leilaoonline.net/lote/detalhe/178750", "8013")</f>
      </c>
      <c r="B287" s="4" t="s">
        <f>=HYPERLINK("https://leilaoonline.net/lote/detalhe/178750", " 5 MAQUINAS DE SOLDA. - LOC. CAARAPÓ")</f>
      </c>
      <c r="C287" s="4" t="inlineStr">
        <is>
          <t>Vendido</t>
        </is>
      </c>
      <c r="D287" s="4" t="inlineStr">
        <is>
          <t>3</t>
        </is>
      </c>
      <c r="E287" s="5" t="inlineStr">
        <is>
          <t>3.500,00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=HYPERLINK("https://leilaoonline.net/lote/detalhe/178755", "8015")</f>
      </c>
      <c r="B288" s="4" t="s">
        <f>=HYPERLINK("https://leilaoonline.net/lote/detalhe/178755", " FIAT, UNO ATTACTIVE 1.0 , ANO 2018/2019, BRANCO. - FR. 4425110. - LOC. CAARAPÓ")</f>
      </c>
      <c r="C288" s="4" t="inlineStr">
        <is>
          <t>Não vendido</t>
        </is>
      </c>
      <c r="D288" s="4" t="inlineStr">
        <is>
          <t>4</t>
        </is>
      </c>
      <c r="E288" s="5" t="inlineStr">
        <is>
          <t>9.500,00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=HYPERLINK("https://leilaoonline.net/lote/detalhe/178774", "8016")</f>
      </c>
      <c r="B289" s="4" t="s">
        <f>=HYPERLINK("https://leilaoonline.net/lote/detalhe/178774", " FIAT, PALIO FIRE WAY, ANO 2017/2017, BRANCO. - FR. 4425081 - LOC. CAARAPÓ")</f>
      </c>
      <c r="C289" s="4" t="inlineStr">
        <is>
          <t>Vendido</t>
        </is>
      </c>
      <c r="D289" s="4" t="inlineStr">
        <is>
          <t>11</t>
        </is>
      </c>
      <c r="E289" s="5" t="inlineStr">
        <is>
          <t>17.000,00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=HYPERLINK("https://leilaoonline.net/lote/detalhe/178786", "8017")</f>
      </c>
      <c r="B290" s="4" t="s">
        <f>=HYPERLINK("https://leilaoonline.net/lote/detalhe/178786", " REBOQUE 4E USICAMP  E2E2 1180 12,5M, ANO 2009/2009, AZUL. - FR. 4455127. - LOC. CAARAPÓ")</f>
      </c>
      <c r="C290" s="4" t="inlineStr">
        <is>
          <t>Não vendido</t>
        </is>
      </c>
      <c r="D290" s="4" t="inlineStr">
        <is>
          <t>1</t>
        </is>
      </c>
      <c r="E290" s="5" t="inlineStr">
        <is>
          <t>25.000,00</t>
        </is>
      </c>
      <c r="F290" s="4" t="inlineStr">
        <is>
          <t>1000.00</t>
        </is>
      </c>
    </row>
    <row collapsed="false" customFormat="false" customHeight="false" hidden="false" ht="12.1" outlineLevel="0" r="291">
      <c r="A291" s="5" t="s">
        <f>=HYPERLINK("https://leilaoonline.net/lote/detalhe/178803", "8018")</f>
      </c>
      <c r="B291" s="4" t="s">
        <f>=HYPERLINK("https://leilaoonline.net/lote/detalhe/178803", " REBOQUE 4E USICAMP  E2E2 1180 12,5M, ANO 2008/2008, AZUL. - FR. 4455118. - LOC. CAARAPÓ")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25.000,00</t>
        </is>
      </c>
      <c r="F291" s="4" t="inlineStr">
        <is>
          <t>1000.00</t>
        </is>
      </c>
    </row>
    <row collapsed="false" customFormat="false" customHeight="false" hidden="false" ht="12.1" outlineLevel="0" r="292">
      <c r="A292" s="5" t="s">
        <f>=HYPERLINK("https://leilaoonline.net/lote/detalhe/178781", "8019")</f>
      </c>
      <c r="B292" s="4" t="s">
        <f>=HYPERLINK("https://leilaoonline.net/lote/detalhe/178781", " FIAT, STRADA WORKING, ANO 2016/2016, BRANCO. - FR. 4425059. - LOC. CAARAPÓ")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14.000,00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=HYPERLINK("https://leilaoonline.net/lote/detalhe/178777", "8021")</f>
      </c>
      <c r="B293" s="4" t="s">
        <f>=HYPERLINK("https://leilaoonline.net/lote/detalhe/178777", " SUCATA DE FIAT UNO, LOC. CAARAPÓ 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3.000,00</t>
        </is>
      </c>
      <c r="F293" s="4" t="inlineStr">
        <is>
          <t>250.00</t>
        </is>
      </c>
    </row>
    <row collapsed="false" customFormat="false" customHeight="false" hidden="false" ht="12.1" outlineLevel="0" r="294">
      <c r="A294" s="5" t="s">
        <f>=HYPERLINK("https://leilaoonline.net/lote/detalhe/178780", "8022")</f>
      </c>
      <c r="B294" s="4" t="s">
        <f>=HYPERLINK("https://leilaoonline.net/lote/detalhe/178780", " SUCATA DE FIAT UNO, LOC. CAARAPÓ 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3.000,00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=HYPERLINK("https://leilaoonline.net/lote/detalhe/178785", "8023")</f>
      </c>
      <c r="B295" s="4" t="s">
        <f>=HYPERLINK("https://leilaoonline.net/lote/detalhe/178785", " SUCATA DE 3 KOMBIS, LOC. CAARAPÓ ")</f>
      </c>
      <c r="C295" s="4" t="inlineStr">
        <is>
          <t>Vendido</t>
        </is>
      </c>
      <c r="D295" s="4" t="inlineStr">
        <is>
          <t>1</t>
        </is>
      </c>
      <c r="E295" s="5" t="inlineStr">
        <is>
          <t>5.000,00</t>
        </is>
      </c>
      <c r="F295" s="4" t="inlineStr">
        <is>
          <t>250.00</t>
        </is>
      </c>
    </row>
    <row collapsed="false" customFormat="false" customHeight="false" hidden="false" ht="12.1" outlineLevel="0" r="296">
      <c r="A296" s="5" t="s">
        <f>=HYPERLINK("https://leilaoonline.net/lote/detalhe/178778", "8024")</f>
      </c>
      <c r="B296" s="4" t="s">
        <f>=HYPERLINK("https://leilaoonline.net/lote/detalhe/178778", " CARROC. TORTA DE FILTRO, ANO 2013,  FR55088, LOC. CAARAPÓ ")</f>
      </c>
      <c r="C296" s="4" t="inlineStr">
        <is>
          <t>Não vendido</t>
        </is>
      </c>
      <c r="D296" s="4" t="inlineStr">
        <is>
          <t>7</t>
        </is>
      </c>
      <c r="E296" s="5" t="inlineStr">
        <is>
          <t>6.750,00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=HYPERLINK("https://leilaoonline.net/lote/detalhe/178751", "8026")</f>
      </c>
      <c r="B297" s="4" t="s">
        <f>=HYPERLINK("https://leilaoonline.net/lote/detalhe/178751", " 03 CULTIVADORES ALEIRADOR DE CANA CRUA, 3 L, FR4445025/FR4445201/FR4445024/FR4445200, LOC. CAARAPÓ 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3.000,00</t>
        </is>
      </c>
      <c r="F297" s="4" t="inlineStr">
        <is>
          <t>250.00</t>
        </is>
      </c>
    </row>
    <row collapsed="false" customFormat="false" customHeight="false" hidden="false" ht="12.1" outlineLevel="0" r="298">
      <c r="A298" s="5" t="s">
        <f>=HYPERLINK("https://leilaoonline.net/lote/detalhe/178804", "8028")</f>
      </c>
      <c r="B298" s="4" t="s">
        <f>=HYPERLINK("https://leilaoonline.net/lote/detalhe/178804", " GRADE NIVELADORA 28 DISCOS MARCA BALD, FR4441872, LOC. CAARAPÓ ")</f>
      </c>
      <c r="C298" s="4" t="inlineStr">
        <is>
          <t>Não vendido</t>
        </is>
      </c>
      <c r="D298" s="4" t="inlineStr">
        <is>
          <t>32</t>
        </is>
      </c>
      <c r="E298" s="5" t="inlineStr">
        <is>
          <t>26.000,00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=HYPERLINK("https://leilaoonline.net/lote/detalhe/178792", "8029")</f>
      </c>
      <c r="B299" s="4" t="s">
        <f>=HYPERLINK("https://leilaoonline.net/lote/detalhe/178792", " GRADE NIVELADORA 28 DISCOS MARCA BALD, FR4441871, LOC. CAARAPÓ ")</f>
      </c>
      <c r="C299" s="4" t="inlineStr">
        <is>
          <t>Vendido</t>
        </is>
      </c>
      <c r="D299" s="4" t="inlineStr">
        <is>
          <t>31</t>
        </is>
      </c>
      <c r="E299" s="5" t="inlineStr">
        <is>
          <t>25.000,00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=HYPERLINK("https://leilaoonline.net/lote/detalhe/178796", "8030")</f>
      </c>
      <c r="B300" s="4" t="s">
        <f>=HYPERLINK("https://leilaoonline.net/lote/detalhe/178796", " GRADE NIVELADORA 36 DISCOS MARCA BALD, FR4446020, LOC. CAARAPÓ ")</f>
      </c>
      <c r="C300" s="4" t="inlineStr">
        <is>
          <t>Vendido</t>
        </is>
      </c>
      <c r="D300" s="4" t="inlineStr">
        <is>
          <t>29</t>
        </is>
      </c>
      <c r="E300" s="5" t="inlineStr">
        <is>
          <t>23.500,00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=HYPERLINK("https://leilaoonline.net/lote/detalhe/178759", "8031")</f>
      </c>
      <c r="B301" s="4" t="s">
        <f>=HYPERLINK("https://leilaoonline.net/lote/detalhe/178759", " CAMINHÃO MERCEDES BENZ LS 2638 6X4, ANO 2000/2000, BRANCO. -  ( CARR. PIPA 55081). - FR. 4414620. - LOC. CAARAPÓ")</f>
      </c>
      <c r="C301" s="4" t="inlineStr">
        <is>
          <t>Não vendido</t>
        </is>
      </c>
      <c r="D301" s="4" t="inlineStr">
        <is>
          <t>71</t>
        </is>
      </c>
      <c r="E301" s="5" t="inlineStr">
        <is>
          <t>134.000,00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=HYPERLINK("https://leilaoonline.net/lote/detalhe/178800", "8034")</f>
      </c>
      <c r="B302" s="4" t="s">
        <f>=HYPERLINK("https://leilaoonline.net/lote/detalhe/178800", " CAMINHÃO MERCEDES BENZ ATEGO 2730 6X4 CE (COMBOIO), ANO 2017/2018, BRANCO. - FR. 4415073. - LOC. CAARAPÓ")</f>
      </c>
      <c r="C302" s="4" t="inlineStr">
        <is>
          <t>Não vendido</t>
        </is>
      </c>
      <c r="D302" s="4" t="inlineStr">
        <is>
          <t>119</t>
        </is>
      </c>
      <c r="E302" s="5" t="inlineStr">
        <is>
          <t>284.000,00</t>
        </is>
      </c>
      <c r="F302" s="4" t="inlineStr">
        <is>
          <t>2000.00</t>
        </is>
      </c>
    </row>
    <row collapsed="false" customFormat="false" customHeight="false" hidden="false" ht="12.1" outlineLevel="0" r="303">
      <c r="A303" s="5" t="s">
        <f>=HYPERLINK("https://leilaoonline.net/lote/detalhe/178765", "8035")</f>
      </c>
      <c r="B303" s="4" t="s">
        <f>=HYPERLINK("https://leilaoonline.net/lote/detalhe/178765", " LOTE DE 4 DOLLY (FR4451500/FR4451519/FR4451538/FR4451559).( VENDA S/ DOCUMENTO )  - LOC. CAARAPÓ")</f>
      </c>
      <c r="C303" s="4" t="inlineStr">
        <is>
          <t>Não vendido</t>
        </is>
      </c>
      <c r="D303" s="4" t="inlineStr">
        <is>
          <t>41</t>
        </is>
      </c>
      <c r="E303" s="5" t="inlineStr">
        <is>
          <t>41.500,00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=HYPERLINK("https://leilaoonline.net/lote/detalhe/178764", "8036")</f>
      </c>
      <c r="B304" s="4" t="s">
        <f>=HYPERLINK("https://leilaoonline.net/lote/detalhe/178764", " CARRETINHA DE SERVIÇOS GERAIS. - LOC. CAARAPÓ")</f>
      </c>
      <c r="C304" s="4" t="inlineStr">
        <is>
          <t>Vendido</t>
        </is>
      </c>
      <c r="D304" s="4" t="inlineStr">
        <is>
          <t>1</t>
        </is>
      </c>
      <c r="E304" s="5" t="inlineStr">
        <is>
          <t>2.500,00</t>
        </is>
      </c>
      <c r="F304" s="4" t="inlineStr">
        <is>
          <t>250.00</t>
        </is>
      </c>
    </row>
    <row collapsed="false" customFormat="false" customHeight="false" hidden="false" ht="12.1" outlineLevel="0" r="305">
      <c r="A305" s="5" t="s">
        <f>=HYPERLINK("https://leilaoonline.net/lote/detalhe/178752", "8037")</f>
      </c>
      <c r="B305" s="4" t="s">
        <f>=HYPERLINK("https://leilaoonline.net/lote/detalhe/178752", " ROÇADEIRA. - LOC. CAARAPÓ")</f>
      </c>
      <c r="C305" s="4" t="inlineStr">
        <is>
          <t>Vendido</t>
        </is>
      </c>
      <c r="D305" s="4" t="inlineStr">
        <is>
          <t>3</t>
        </is>
      </c>
      <c r="E305" s="5" t="inlineStr">
        <is>
          <t>3.000,00</t>
        </is>
      </c>
      <c r="F305" s="4" t="inlineStr">
        <is>
          <t>250.00</t>
        </is>
      </c>
    </row>
    <row collapsed="false" customFormat="false" customHeight="false" hidden="false" ht="12.1" outlineLevel="0" r="306">
      <c r="A306" s="5" t="s">
        <f>=HYPERLINK("https://leilaoonline.net/lote/detalhe/178816", "8038")</f>
      </c>
      <c r="B306" s="4" t="s">
        <f>=HYPERLINK("https://leilaoonline.net/lote/detalhe/178816", " SEMI REBOQUE CANA PICADA C/2 EIXOS, ANO 2002. - FR.10004064. - LOC. PASSATEMPO")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25.000,00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=HYPERLINK("https://leilaoonline.net/lote/detalhe/178806", "8039")</f>
      </c>
      <c r="B307" s="4" t="s">
        <f>=HYPERLINK("https://leilaoonline.net/lote/detalhe/178806", " SEMI-REBOQUE RANDON SR CA, ANO 2002/2002, VERDE. - FR. 10004066. - LOC. PASSATEMPO")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25.000,00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=HYPERLINK("https://leilaoonline.net/lote/detalhe/178810", "8040")</f>
      </c>
      <c r="B308" s="4" t="s">
        <f>=HYPERLINK("https://leilaoonline.net/lote/detalhe/178810", " REBOQUE, ANO 1991, FR5004590,  - LOC. PASSATEMPO")</f>
      </c>
      <c r="C308" s="4" t="inlineStr">
        <is>
          <t>Não vendido</t>
        </is>
      </c>
      <c r="D308" s="4" t="inlineStr">
        <is>
          <t>1</t>
        </is>
      </c>
      <c r="E308" s="5" t="inlineStr">
        <is>
          <t>10.000,00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=HYPERLINK("https://leilaoonline.net/lote/detalhe/178906", "8041")</f>
      </c>
      <c r="B309" s="4" t="s">
        <f>=HYPERLINK("https://leilaoonline.net/lote/detalhe/178906", " S.REBOQUE FACCHINI 12,5M, ANO 1994, FR14004336, LOC. PASSATEMPO 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25.000,00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=HYPERLINK("https://leilaoonline.net/lote/detalhe/178905", "8042")</f>
      </c>
      <c r="B310" s="4" t="s">
        <f>=HYPERLINK("https://leilaoonline.net/lote/detalhe/178905", " REBOQUE GOYDO COM IMPLEMENTO BAZUKA, ANO 1999, FR4004040, LOC. PASSATEMPO ")</f>
      </c>
      <c r="C310" s="4" t="inlineStr">
        <is>
          <t>Vendido</t>
        </is>
      </c>
      <c r="D310" s="4" t="inlineStr">
        <is>
          <t>26</t>
        </is>
      </c>
      <c r="E310" s="5" t="inlineStr">
        <is>
          <t>35.050,00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=HYPERLINK("https://leilaoonline.net/lote/detalhe/178909", "8044")</f>
      </c>
      <c r="B311" s="4" t="s">
        <f>=HYPERLINK("https://leilaoonline.net/lote/detalhe/178909", " 03 MOTOBOMBA, FR5005768FR5005004/FR9005009, LOC. PASSATEMPO ")</f>
      </c>
      <c r="C311" s="4" t="inlineStr">
        <is>
          <t>Não vendido</t>
        </is>
      </c>
      <c r="D311" s="4" t="inlineStr">
        <is>
          <t>2</t>
        </is>
      </c>
      <c r="E311" s="5" t="inlineStr">
        <is>
          <t>5.500,00</t>
        </is>
      </c>
      <c r="F311" s="4" t="inlineStr">
        <is>
          <t>500.00</t>
        </is>
      </c>
    </row>
    <row collapsed="false" customFormat="false" customHeight="false" hidden="false" ht="12.1" outlineLevel="0" r="312">
      <c r="A312" s="5" t="s">
        <f>=HYPERLINK("https://leilaoonline.net/lote/detalhe/178874", "8046")</f>
      </c>
      <c r="B312" s="4" t="s">
        <f>=HYPERLINK("https://leilaoonline.net/lote/detalhe/178874", " 02 CARRETINHA BANHEIRO FAB. PROPRIA, 293309/293895, LOC. PASSATEMPO 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3.000,00</t>
        </is>
      </c>
      <c r="F312" s="4" t="inlineStr">
        <is>
          <t>250.00</t>
        </is>
      </c>
    </row>
    <row collapsed="false" customFormat="false" customHeight="false" hidden="false" ht="12.1" outlineLevel="0" r="313">
      <c r="A313" s="5" t="s">
        <f>=HYPERLINK("https://leilaoonline.net/lote/detalhe/178865", "8048")</f>
      </c>
      <c r="B313" s="4" t="s">
        <f>=HYPERLINK("https://leilaoonline.net/lote/detalhe/178865", " CARRETA TANQUE DE AGUA 5 MIL L,ANO 1990,  FR5003987, LOC. PASSATEMPO ")</f>
      </c>
      <c r="C313" s="4" t="inlineStr">
        <is>
          <t>Vendido</t>
        </is>
      </c>
      <c r="D313" s="4" t="inlineStr">
        <is>
          <t>3</t>
        </is>
      </c>
      <c r="E313" s="5" t="inlineStr">
        <is>
          <t>4.500,00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=HYPERLINK("https://leilaoonline.net/lote/detalhe/178928", "8049")</f>
      </c>
      <c r="B314" s="4" t="s">
        <f>=HYPERLINK("https://leilaoonline.net/lote/detalhe/178928", " TALHA 40 TON., S/ FR, LOC. PASSATEMPO")</f>
      </c>
      <c r="C314" s="4" t="inlineStr">
        <is>
          <t>Vendido</t>
        </is>
      </c>
      <c r="D314" s="4" t="inlineStr">
        <is>
          <t>69</t>
        </is>
      </c>
      <c r="E314" s="5" t="inlineStr">
        <is>
          <t>30.750,00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=HYPERLINK("https://leilaoonline.net/lote/detalhe/178864", "8050")</f>
      </c>
      <c r="B315" s="4" t="s">
        <f>=HYPERLINK("https://leilaoonline.net/lote/detalhe/178864", " GERADOR A DIESEL CAT 450KV/MOTOR DE GERADOR A DIESEL, 292169/292168, LOC. PASSATEMPO ")</f>
      </c>
      <c r="C315" s="4" t="inlineStr">
        <is>
          <t>Não vendido</t>
        </is>
      </c>
      <c r="D315" s="4" t="inlineStr">
        <is>
          <t>95</t>
        </is>
      </c>
      <c r="E315" s="5" t="inlineStr">
        <is>
          <t>62.500,00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=HYPERLINK("https://leilaoonline.net/lote/detalhe/178770", "11256")</f>
      </c>
      <c r="B316" s="4" t="s">
        <f>=HYPERLINK("https://leilaoonline.net/lote/detalhe/178770", "TRATOR VALTRA BH 210I 4X4, ANO 2014. - FR. 31042. - LOC. ARARAQUARA")</f>
      </c>
      <c r="C316" s="4" t="inlineStr">
        <is>
          <t>Vendido</t>
        </is>
      </c>
      <c r="D316" s="4" t="inlineStr">
        <is>
          <t>76</t>
        </is>
      </c>
      <c r="E316" s="5" t="inlineStr">
        <is>
          <t>140.000,00</t>
        </is>
      </c>
      <c r="F316" s="4" t="inlineStr">
        <is>
          <t>2000.00</t>
        </is>
      </c>
    </row>
    <row collapsed="false" customFormat="false" customHeight="false" hidden="false" ht="12.1" outlineLevel="0" r="317">
      <c r="A317" s="5" t="s">
        <f>=HYPERLINK("https://leilaoonline.net/lote/detalhe/178873", "11269")</f>
      </c>
      <c r="B317" s="4" t="s">
        <f>=HYPERLINK("https://leilaoonline.net/lote/detalhe/178873", " PLANT. CANA ATA PCP 1102, ANO 2012, FR92830, LOC. JUNQUEIRA ")</f>
      </c>
      <c r="C317" s="4" t="inlineStr">
        <is>
          <t>Não vendido</t>
        </is>
      </c>
      <c r="D317" s="4" t="inlineStr">
        <is>
          <t>3</t>
        </is>
      </c>
      <c r="E317" s="5" t="inlineStr">
        <is>
          <t>11.000,00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=HYPERLINK("https://leilaoonline.net/lote/detalhe/178634", "11371")</f>
      </c>
      <c r="B318" s="4" t="s">
        <f>=HYPERLINK("https://leilaoonline.net/lote/detalhe/178634", " VALTRA BH 210I 4X4, ANO 2015, FR188945, LOC. SERRA ")</f>
      </c>
      <c r="C318" s="4" t="inlineStr">
        <is>
          <t>Vendido</t>
        </is>
      </c>
      <c r="D318" s="4" t="inlineStr">
        <is>
          <t>60</t>
        </is>
      </c>
      <c r="E318" s="5" t="inlineStr">
        <is>
          <t>142.000,00</t>
        </is>
      </c>
      <c r="F318" s="4" t="inlineStr">
        <is>
          <t>2000.00</t>
        </is>
      </c>
    </row>
    <row collapsed="false" customFormat="false" customHeight="false" hidden="false" ht="12.1" outlineLevel="0" r="319">
      <c r="A319" s="5" t="s">
        <f>=HYPERLINK("https://leilaoonline.net/lote/detalhe/178636", "11389")</f>
      </c>
      <c r="B319" s="4" t="s">
        <f>=HYPERLINK("https://leilaoonline.net/lote/detalhe/178636", " DIST. T. FILTRO HARD KTDH, ANO 2015,FR17274 , LOC. ARARAQUARA ")</f>
      </c>
      <c r="C319" s="4" t="inlineStr">
        <is>
          <t>Não vendido</t>
        </is>
      </c>
      <c r="D319" s="4" t="inlineStr">
        <is>
          <t>2</t>
        </is>
      </c>
      <c r="E319" s="5" t="inlineStr">
        <is>
          <t>3.750,00</t>
        </is>
      </c>
      <c r="F319" s="4" t="inlineStr">
        <is>
          <t>250.00</t>
        </is>
      </c>
    </row>
    <row collapsed="false" customFormat="false" customHeight="false" hidden="false" ht="12.1" outlineLevel="0" r="320">
      <c r="A320" s="5" t="s">
        <f>=HYPERLINK("https://leilaoonline.net/lote/detalhe/178633", "11391")</f>
      </c>
      <c r="B320" s="4" t="s">
        <f>=HYPERLINK("https://leilaoonline.net/lote/detalhe/178633", " DIST. T. FILTRO HARD KTDH, ANO 2015, FR17275, LOC. ARARAQUARA 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3.500,00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=HYPERLINK("https://leilaoonline.net/lote/detalhe/178610", "11455")</f>
      </c>
      <c r="B321" s="4" t="s">
        <f>=HYPERLINK("https://leilaoonline.net/lote/detalhe/178610", " CAR.DIST.TORTA MULTIFUNC, ANO 2006, FR122260, LOC. BONFIM 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=HYPERLINK("https://leilaoonline.net/lote/detalhe/178613", "11457")</f>
      </c>
      <c r="B322" s="4" t="s">
        <f>=HYPERLINK("https://leilaoonline.net/lote/detalhe/178613", " CARROC.TANQUE COMBATE INC, ANO 2015, FR121803,LOC. BONFIM ")</f>
      </c>
      <c r="C322" s="4" t="inlineStr">
        <is>
          <t>Não vendido</t>
        </is>
      </c>
      <c r="D322" s="4" t="inlineStr">
        <is>
          <t>57</t>
        </is>
      </c>
      <c r="E322" s="5" t="inlineStr">
        <is>
          <t>36.250,00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=HYPERLINK("https://leilaoonline.net/lote/detalhe/178596", "11460")</f>
      </c>
      <c r="B323" s="4" t="s">
        <f>=HYPERLINK("https://leilaoonline.net/lote/detalhe/178596", " CARRETA SERVIÇOS DIVERSOS E CAR.DIST.TORTA MULTIFUNC, ANO 1988, FR122706/FR122309, LOC. BONFIM ")</f>
      </c>
      <c r="C323" s="4" t="inlineStr">
        <is>
          <t>Vendido</t>
        </is>
      </c>
      <c r="D323" s="4" t="inlineStr">
        <is>
          <t>1</t>
        </is>
      </c>
      <c r="E323" s="5" t="inlineStr">
        <is>
          <t>3.500,00</t>
        </is>
      </c>
      <c r="F323" s="4" t="inlineStr">
        <is>
          <t>250.00</t>
        </is>
      </c>
    </row>
    <row collapsed="false" customFormat="false" customHeight="false" hidden="false" ht="12.1" outlineLevel="0" r="324">
      <c r="A324" s="5" t="s">
        <f>=HYPERLINK("https://leilaoonline.net/lote/detalhe/178618", "11463")</f>
      </c>
      <c r="B324" s="4" t="s">
        <f>=HYPERLINK("https://leilaoonline.net/lote/detalhe/178618", " TRATOR VALTRA BH180 4X4, ANO 2013, FR360741,  LOC. BONFIM ")</f>
      </c>
      <c r="C324" s="4" t="inlineStr">
        <is>
          <t>Vendido</t>
        </is>
      </c>
      <c r="D324" s="4" t="inlineStr">
        <is>
          <t>72</t>
        </is>
      </c>
      <c r="E324" s="5" t="inlineStr">
        <is>
          <t>111.000,00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=HYPERLINK("https://leilaoonline.net/lote/detalhe/178614", "11466")</f>
      </c>
      <c r="B325" s="4" t="s">
        <f>=HYPERLINK("https://leilaoonline.net/lote/detalhe/178614", " CAR.DIST.TORTA MULTIFUNC, ANO 2008, FR122277, LOC. BONFIM ")</f>
      </c>
      <c r="C325" s="4" t="inlineStr">
        <is>
          <t>Vendido</t>
        </is>
      </c>
      <c r="D325" s="4" t="inlineStr">
        <is>
          <t>3</t>
        </is>
      </c>
      <c r="E325" s="5" t="inlineStr">
        <is>
          <t>5.000,00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=HYPERLINK("https://leilaoonline.net/lote/detalhe/178597", "11467")</f>
      </c>
      <c r="B326" s="4" t="s">
        <f>=HYPERLINK("https://leilaoonline.net/lote/detalhe/178597", " PLANT.CANA AUTOMÁTICA DMB, ANO 2007, FR361016, LOC. BONFIM ")</f>
      </c>
      <c r="C326" s="4" t="inlineStr">
        <is>
          <t>Não vendido</t>
        </is>
      </c>
      <c r="D326" s="4" t="inlineStr">
        <is>
          <t>2</t>
        </is>
      </c>
      <c r="E326" s="5" t="inlineStr">
        <is>
          <t>10.500,00</t>
        </is>
      </c>
      <c r="F326" s="4" t="inlineStr">
        <is>
          <t>500.00</t>
        </is>
      </c>
    </row>
    <row collapsed="false" customFormat="false" customHeight="false" hidden="false" ht="12.1" outlineLevel="0" r="327">
      <c r="A327" s="5" t="s">
        <f>=HYPERLINK("https://leilaoonline.net/lote/detalhe/178631", "11472")</f>
      </c>
      <c r="B327" s="4" t="s">
        <f>=HYPERLINK("https://leilaoonline.net/lote/detalhe/178631", " CAR.DIST.TORTA MULTIFUNC , ANO 2008, FR122282, LOC. BONFIM ")</f>
      </c>
      <c r="C327" s="4" t="inlineStr">
        <is>
          <t>Não vendido</t>
        </is>
      </c>
      <c r="D327" s="4" t="inlineStr">
        <is>
          <t>4</t>
        </is>
      </c>
      <c r="E327" s="5" t="inlineStr">
        <is>
          <t>5.000,00</t>
        </is>
      </c>
      <c r="F327" s="4" t="inlineStr">
        <is>
          <t>500.00</t>
        </is>
      </c>
    </row>
    <row collapsed="false" customFormat="false" customHeight="false" hidden="false" ht="12.1" outlineLevel="0" r="328">
      <c r="A328" s="5" t="s">
        <f>=HYPERLINK("https://leilaoonline.net/lote/detalhe/178776", "11508")</f>
      </c>
      <c r="B328" s="4" t="s">
        <f>=HYPERLINK("https://leilaoonline.net/lote/detalhe/178776", " SEMI-REBOQUE RANDON (PRANCHA), ANO 1978/1978; LARANJA. - FR. 121228. - LOC. BONFIM")</f>
      </c>
      <c r="C328" s="4" t="inlineStr">
        <is>
          <t>Vendido</t>
        </is>
      </c>
      <c r="D328" s="4" t="inlineStr">
        <is>
          <t>54</t>
        </is>
      </c>
      <c r="E328" s="5" t="inlineStr">
        <is>
          <t>93.000,00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=HYPERLINK("https://leilaoonline.net/lote/detalhe/178773", "11560")</f>
      </c>
      <c r="B329" s="4" t="s">
        <f>=HYPERLINK("https://leilaoonline.net/lote/detalhe/178773", " REBOQUE RANDON RQ CA 12,5M, ANO 2012/2012, AZUL. - FR. 93688. - LOC. ARARAQUARA")</f>
      </c>
      <c r="C329" s="4" t="inlineStr">
        <is>
          <t>Vendido</t>
        </is>
      </c>
      <c r="D329" s="4" t="inlineStr">
        <is>
          <t>28</t>
        </is>
      </c>
      <c r="E329" s="5" t="inlineStr">
        <is>
          <t>52.000,00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=HYPERLINK("https://leilaoonline.net/lote/detalhe/178775", "11563")</f>
      </c>
      <c r="B330" s="4" t="s">
        <f>=HYPERLINK("https://leilaoonline.net/lote/detalhe/178775", " REBOQUE RANDON RQ CA 12,5M, ANO 2012/2013, CINZA. - FR. 133031. - LOC. ARARAQUARA")</f>
      </c>
      <c r="C330" s="4" t="inlineStr">
        <is>
          <t>Vendido</t>
        </is>
      </c>
      <c r="D330" s="4" t="inlineStr">
        <is>
          <t>30</t>
        </is>
      </c>
      <c r="E330" s="5" t="inlineStr">
        <is>
          <t>54.000,00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=HYPERLINK("https://leilaoonline.net/lote/detalhe/178739", "11571")</f>
      </c>
      <c r="B331" s="4" t="s">
        <f>=HYPERLINK("https://leilaoonline.net/lote/detalhe/178739", " SEMI-REBOQUE RODOFORT SRC 2E 12,50M, ANO 2008/2008. - FR. 56302. - LOC. ARAQUARA")</f>
      </c>
      <c r="C331" s="4" t="inlineStr">
        <is>
          <t>Vendido</t>
        </is>
      </c>
      <c r="D331" s="4" t="inlineStr">
        <is>
          <t>16</t>
        </is>
      </c>
      <c r="E331" s="5" t="inlineStr">
        <is>
          <t>40.000,00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=HYPERLINK("https://leilaoonline.net/lote/detalhe/178771", "11572")</f>
      </c>
      <c r="B332" s="4" t="s">
        <f>=HYPERLINK("https://leilaoonline.net/lote/detalhe/178771", " REBOQUE RANDON RQ CA 12,5M, ANO 2012/2012, AZUL. - FR. 93680. - LOC. ARARAQUARA")</f>
      </c>
      <c r="C332" s="4" t="inlineStr">
        <is>
          <t>Vendido</t>
        </is>
      </c>
      <c r="D332" s="4" t="inlineStr">
        <is>
          <t>23</t>
        </is>
      </c>
      <c r="E332" s="5" t="inlineStr">
        <is>
          <t>47.000,00</t>
        </is>
      </c>
      <c r="F332" s="4" t="inlineStr">
        <is>
          <t>1000.00</t>
        </is>
      </c>
    </row>
    <row collapsed="false" customFormat="false" customHeight="false" hidden="false" ht="12.1" outlineLevel="0" r="333">
      <c r="A333" s="5" t="s">
        <f>=HYPERLINK("https://leilaoonline.net/lote/detalhe/178748", "11579")</f>
      </c>
      <c r="B333" s="4" t="s">
        <f>=HYPERLINK("https://leilaoonline.net/lote/detalhe/178748", " PLANT.CANA AUTOMÁTICA DMB, ANO 2010. - FR. 92767. - LOC. ARARAQUARA")</f>
      </c>
      <c r="C333" s="4" t="inlineStr">
        <is>
          <t>Não vendido</t>
        </is>
      </c>
      <c r="D333" s="4" t="inlineStr">
        <is>
          <t>1</t>
        </is>
      </c>
      <c r="E333" s="5" t="inlineStr">
        <is>
          <t>10.000,00</t>
        </is>
      </c>
      <c r="F333" s="4" t="inlineStr">
        <is>
          <t>500.00</t>
        </is>
      </c>
    </row>
    <row collapsed="false" customFormat="false" customHeight="false" hidden="false" ht="12.1" outlineLevel="0" r="334">
      <c r="A334" s="5" t="s">
        <f>=HYPERLINK("https://leilaoonline.net/lote/detalhe/178594", "11605")</f>
      </c>
      <c r="B334" s="4" t="s">
        <f>=HYPERLINK("https://leilaoonline.net/lote/detalhe/178594", " REBOQUE RANDON RQ CA, 8,00 M, ANO 2008/2008, AZUL, FR81979, LOC. ARARAQUARA 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25.000,00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=HYPERLINK("https://leilaoonline.net/lote/detalhe/179317", "11633")</f>
      </c>
      <c r="B335" s="4" t="s">
        <f>=HYPERLINK("https://leilaoonline.net/lote/detalhe/179317", "APROX. 97 ITENS DE INFORMATICA DIVERSOS, VEJA DESCRITIVO DE ITENS , LOC. CONTINENTAL / SP")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5.000,00</t>
        </is>
      </c>
      <c r="F335" s="4" t="inlineStr">
        <is>
          <t>500.00</t>
        </is>
      </c>
    </row>
    <row collapsed="false" customFormat="false" customHeight="false" hidden="false" ht="12.1" outlineLevel="0" r="336">
      <c r="A336" s="5" t="s">
        <f>=HYPERLINK("https://leilaoonline.net/lote/detalhe/179310", "11634")</f>
      </c>
      <c r="B336" s="4" t="s">
        <f>=HYPERLINK("https://leilaoonline.net/lote/detalhe/179310", "APROX. 260 ITENS DE INFORMATICA DIVERSOS, VEJA DESCRITIVO DE ITENS , LOC. SERRA ")</f>
      </c>
      <c r="C336" s="4" t="inlineStr">
        <is>
          <t>Não vendido</t>
        </is>
      </c>
      <c r="D336" s="4" t="inlineStr">
        <is>
          <t>7</t>
        </is>
      </c>
      <c r="E336" s="5" t="inlineStr">
        <is>
          <t>8.000,00</t>
        </is>
      </c>
      <c r="F336" s="4" t="inlineStr">
        <is>
          <t>500.00</t>
        </is>
      </c>
    </row>
    <row collapsed="false" customFormat="false" customHeight="false" hidden="false" ht="12.1" outlineLevel="0" r="337">
      <c r="A337" s="5" t="s">
        <f>=HYPERLINK("https://leilaoonline.net/lote/detalhe/179318", "11635")</f>
      </c>
      <c r="B337" s="4" t="s">
        <f>=HYPERLINK("https://leilaoonline.net/lote/detalhe/179318", "APROX. 259 ITENS DE INFORMATICA , VEJA DESCRITIVO DE ITENS , LOC. ZANIN ")</f>
      </c>
      <c r="C337" s="4" t="inlineStr">
        <is>
          <t>Não vendido</t>
        </is>
      </c>
      <c r="D337" s="4" t="inlineStr">
        <is>
          <t>7</t>
        </is>
      </c>
      <c r="E337" s="5" t="inlineStr">
        <is>
          <t>8.000,00</t>
        </is>
      </c>
      <c r="F337" s="4" t="inlineStr">
        <is>
          <t>500.00</t>
        </is>
      </c>
    </row>
    <row collapsed="false" customFormat="false" customHeight="false" hidden="false" ht="12.1" outlineLevel="0" r="338">
      <c r="A338" s="5" t="s">
        <f>=HYPERLINK("https://leilaoonline.net/lote/detalhe/178880", "12007")</f>
      </c>
      <c r="B338" s="4" t="s">
        <f>=HYPERLINK("https://leilaoonline.net/lote/detalhe/178880", " TRANBORDO SMR 10500 10T, ANO 2008, FR10131, LOC. JUNQUEIRA ")</f>
      </c>
      <c r="C338" s="4" t="inlineStr">
        <is>
          <t>Vendido</t>
        </is>
      </c>
      <c r="D338" s="4" t="inlineStr">
        <is>
          <t>1</t>
        </is>
      </c>
      <c r="E338" s="5" t="inlineStr">
        <is>
          <t>10.000,00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=HYPERLINK("https://leilaoonline.net/lote/detalhe/178924", "12008")</f>
      </c>
      <c r="B339" s="4" t="s">
        <f>=HYPERLINK("https://leilaoonline.net/lote/detalhe/178924", " TRANSBORDO SANTAL VT 10T, ANO 2009, FR10148, LOC. JUNQUEIRA 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10.000,00</t>
        </is>
      </c>
      <c r="F339" s="4" t="inlineStr">
        <is>
          <t>500.00</t>
        </is>
      </c>
    </row>
    <row collapsed="false" customFormat="false" customHeight="false" hidden="false" ht="12.1" outlineLevel="0" r="340">
      <c r="A340" s="5" t="s">
        <f>=HYPERLINK("https://leilaoonline.net/lote/detalhe/178868", "12011")</f>
      </c>
      <c r="B340" s="4" t="s">
        <f>=HYPERLINK("https://leilaoonline.net/lote/detalhe/178868", " TRANSBORDO ATA 12000 12T, ANO 2012, FR93867, LOC. JUNQUEIRA ")</f>
      </c>
      <c r="C340" s="4" t="inlineStr">
        <is>
          <t>Vendido</t>
        </is>
      </c>
      <c r="D340" s="4" t="inlineStr">
        <is>
          <t>13</t>
        </is>
      </c>
      <c r="E340" s="5" t="inlineStr">
        <is>
          <t>22.000,00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=HYPERLINK("https://leilaoonline.net/lote/detalhe/178890", "12015")</f>
      </c>
      <c r="B341" s="4" t="s">
        <f>=HYPERLINK("https://leilaoonline.net/lote/detalhe/178890", " S.REBOQUE USICAMP 12,50 M, ANO 2008, FR96275, LOC. JUNQUEIRA 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25.000,00</t>
        </is>
      </c>
      <c r="F341" s="4" t="inlineStr">
        <is>
          <t>1000.00</t>
        </is>
      </c>
    </row>
    <row collapsed="false" customFormat="false" customHeight="false" hidden="false" ht="12.1" outlineLevel="0" r="342">
      <c r="A342" s="5" t="s">
        <f>=HYPERLINK("https://leilaoonline.net/lote/detalhe/178925", "12016")</f>
      </c>
      <c r="B342" s="4" t="s">
        <f>=HYPERLINK("https://leilaoonline.net/lote/detalhe/178925", " S.REBOQUE USICAMP 12,50 M, ANO 2008, FR96284, LOC. JUNQUEIRA ")</f>
      </c>
      <c r="C342" s="4" t="inlineStr">
        <is>
          <t>Vendido</t>
        </is>
      </c>
      <c r="D342" s="4" t="inlineStr">
        <is>
          <t>1</t>
        </is>
      </c>
      <c r="E342" s="5" t="inlineStr">
        <is>
          <t>25.000,00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=HYPERLINK("https://leilaoonline.net/lote/detalhe/178870", "12020")</f>
      </c>
      <c r="B343" s="4" t="s">
        <f>=HYPERLINK("https://leilaoonline.net/lote/detalhe/178870", " CARRETA TANQUE 5000LITROS, ANO 2011, FR122329, LOC. JUNQUEIRA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5.000,00</t>
        </is>
      </c>
      <c r="F343" s="4" t="inlineStr">
        <is>
          <t>250.00</t>
        </is>
      </c>
    </row>
    <row collapsed="false" customFormat="false" customHeight="false" hidden="false" ht="12.1" outlineLevel="0" r="344">
      <c r="A344" s="5" t="s">
        <f>=HYPERLINK("https://leilaoonline.net/lote/detalhe/179320", "12021")</f>
      </c>
      <c r="B344" s="4" t="s">
        <f>=HYPERLINK("https://leilaoonline.net/lote/detalhe/179320", "PLANT. CANA ATA PCP 1102, ANO 2012, FR92829, LOC. JUNQUEIRA")</f>
      </c>
      <c r="C344" s="4" t="inlineStr">
        <is>
          <t>Não vendido</t>
        </is>
      </c>
      <c r="D344" s="4" t="inlineStr">
        <is>
          <t>1</t>
        </is>
      </c>
      <c r="E344" s="5" t="inlineStr">
        <is>
          <t>10.000,00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=HYPERLINK("https://leilaoonline.net/lote/detalhe/178892", "12027")</f>
      </c>
      <c r="B345" s="4" t="s">
        <f>=HYPERLINK("https://leilaoonline.net/lote/detalhe/178892", " PLANT.CANA AUTOMÁTICA DMB, ANO 2010, FR103902, LOC. JUNQUEIRA ")</f>
      </c>
      <c r="C345" s="4" t="inlineStr">
        <is>
          <t>Não vendido</t>
        </is>
      </c>
      <c r="D345" s="4" t="inlineStr">
        <is>
          <t>2</t>
        </is>
      </c>
      <c r="E345" s="5" t="inlineStr">
        <is>
          <t>10.500,00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=HYPERLINK("https://leilaoonline.net/lote/detalhe/178914", "12048")</f>
      </c>
      <c r="B346" s="4" t="s">
        <f>=HYPERLINK("https://leilaoonline.net/lote/detalhe/178914", " ADUBADOR COM TANQUE DMB, ANO 2012, FR11003635, LOC. SANTA ELISA ")</f>
      </c>
      <c r="C346" s="4" t="inlineStr">
        <is>
          <t>Vendido</t>
        </is>
      </c>
      <c r="D346" s="4" t="inlineStr">
        <is>
          <t>3</t>
        </is>
      </c>
      <c r="E346" s="5" t="inlineStr">
        <is>
          <t>2.000,00</t>
        </is>
      </c>
      <c r="F346" s="4" t="inlineStr">
        <is>
          <t>250.00</t>
        </is>
      </c>
    </row>
    <row collapsed="false" customFormat="false" customHeight="false" hidden="false" ht="12.1" outlineLevel="0" r="347">
      <c r="A347" s="5" t="s">
        <f>=HYPERLINK("https://leilaoonline.net/lote/detalhe/178884", "12056")</f>
      </c>
      <c r="B347" s="4" t="s">
        <f>=HYPERLINK("https://leilaoonline.net/lote/detalhe/178884", " TRANSFORMADOR INCOTRAZA, S/ FR, LOC. SANTA ELISA ")</f>
      </c>
      <c r="C347" s="4" t="inlineStr">
        <is>
          <t>Vendido</t>
        </is>
      </c>
      <c r="D347" s="4" t="inlineStr">
        <is>
          <t>2</t>
        </is>
      </c>
      <c r="E347" s="5" t="inlineStr">
        <is>
          <t>3.250,00</t>
        </is>
      </c>
      <c r="F347" s="4" t="inlineStr">
        <is>
          <t>250.00</t>
        </is>
      </c>
    </row>
    <row collapsed="false" customFormat="false" customHeight="false" hidden="false" ht="12.1" outlineLevel="0" r="348">
      <c r="A348" s="5" t="s">
        <f>=HYPERLINK("https://leilaoonline.net/lote/detalhe/179359", "12060")</f>
      </c>
      <c r="B348" s="4" t="s">
        <f>=HYPERLINK("https://leilaoonline.net/lote/detalhe/179359", "GRADE NIVELADORA C/ TANQUE PARA APLICAÇÃO DE HERBICIDA , FALTANDO PÇAS , LOC. SANTA ELISA ")</f>
      </c>
      <c r="C348" s="4" t="inlineStr">
        <is>
          <t>Vendido</t>
        </is>
      </c>
      <c r="D348" s="4" t="inlineStr">
        <is>
          <t>5</t>
        </is>
      </c>
      <c r="E348" s="5" t="inlineStr">
        <is>
          <t>6.000,00</t>
        </is>
      </c>
      <c r="F348" s="4" t="inlineStr">
        <is>
          <t>250.00</t>
        </is>
      </c>
    </row>
    <row collapsed="false" customFormat="false" customHeight="false" hidden="false" ht="12.1" outlineLevel="0" r="349">
      <c r="A349" s="5" t="s">
        <f>=HYPERLINK("https://leilaoonline.net/lote/detalhe/178915", "12061")</f>
      </c>
      <c r="B349" s="4" t="s">
        <f>=HYPERLINK("https://leilaoonline.net/lote/detalhe/178915", " SUBSOLADOR DE ARRASTO STAC 7 HASTE CIVEMASA 2PNEU, ANO 2013,FR1003156, LOC. SANTA ELISA 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5.000,00</t>
        </is>
      </c>
      <c r="F349" s="4" t="inlineStr">
        <is>
          <t>250.00</t>
        </is>
      </c>
    </row>
    <row collapsed="false" customFormat="false" customHeight="false" hidden="false" ht="12.1" outlineLevel="0" r="350">
      <c r="A350" s="5" t="s">
        <f>=HYPERLINK("https://leilaoonline.net/lote/detalhe/179394", "12090")</f>
      </c>
      <c r="B350" s="4" t="s">
        <f>=HYPERLINK("https://leilaoonline.net/lote/detalhe/179394", "APROX. 107 ITENS DE INFORMATICA DIVERSOS , VEJA DESCRITIVO DE ITENS , LOC. MB")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5.000,00</t>
        </is>
      </c>
      <c r="F350" s="4" t="inlineStr">
        <is>
          <t>250.00</t>
        </is>
      </c>
    </row>
    <row collapsed="false" customFormat="false" customHeight="false" hidden="false" ht="12.1" outlineLevel="0" r="351">
      <c r="A351" s="5" t="s">
        <f>=HYPERLINK("https://leilaoonline.net/lote/detalhe/179395", "12091")</f>
      </c>
      <c r="B351" s="4" t="s">
        <f>=HYPERLINK("https://leilaoonline.net/lote/detalhe/179395", "APROX. 464 ITENS DE INFORMÁTICA DIVERSOS; VEJA DESCRITIVO DE ITENS, LOC. SANTA ELISA ")</f>
      </c>
      <c r="C351" s="4" t="inlineStr">
        <is>
          <t>Não vendido</t>
        </is>
      </c>
      <c r="D351" s="4" t="inlineStr">
        <is>
          <t>9</t>
        </is>
      </c>
      <c r="E351" s="5" t="inlineStr">
        <is>
          <t>9.000,00</t>
        </is>
      </c>
      <c r="F351" s="4" t="inlineStr">
        <is>
          <t>500.00</t>
        </is>
      </c>
    </row>
    <row collapsed="false" customFormat="false" customHeight="false" hidden="false" ht="12.1" outlineLevel="0" r="352">
      <c r="A352" s="5" t="s">
        <f>=HYPERLINK("https://leilaoonline.net/lote/detalhe/179398", "12092")</f>
      </c>
      <c r="B352" s="4" t="s">
        <f>=HYPERLINK("https://leilaoonline.net/lote/detalhe/179398", "APROX. 68 ITENS DE INFORMÁTICA E ELETRONICOS DIVERSOS, VEJA DESCRITIVO DE ITENS , LOC. VALE DO ROSARIO 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5.000,00</t>
        </is>
      </c>
      <c r="F352" s="4" t="inlineStr">
        <is>
          <t>250.00</t>
        </is>
      </c>
    </row>
    <row collapsed="false" customFormat="false" customHeight="false" hidden="false" ht="12.1" outlineLevel="0" r="353">
      <c r="A353" s="5" t="s">
        <f>=HYPERLINK("https://leilaoonline.net/lote/detalhe/178591", "16415")</f>
      </c>
      <c r="B353" s="4" t="s">
        <f>=HYPERLINK("https://leilaoonline.net/lote/detalhe/178591", " CAMINHAO M.BENZ AXOR 3344S 6X4, ANO 2014/2014, BRANCA, LOC. GASA ")</f>
      </c>
      <c r="C353" s="4" t="inlineStr">
        <is>
          <t>Vendido</t>
        </is>
      </c>
      <c r="D353" s="4" t="inlineStr">
        <is>
          <t>42</t>
        </is>
      </c>
      <c r="E353" s="5" t="inlineStr">
        <is>
          <t>136.000,00</t>
        </is>
      </c>
      <c r="F353" s="4" t="inlineStr">
        <is>
          <t>1000.00</t>
        </is>
      </c>
    </row>
    <row collapsed="false" customFormat="false" customHeight="false" hidden="false" ht="12.1" outlineLevel="0" r="354">
      <c r="A354" s="5" t="s">
        <f>=HYPERLINK("https://leilaoonline.net/lote/detalhe/177963", "16457")</f>
      </c>
      <c r="B354" s="4" t="s">
        <f>=HYPERLINK("https://leilaoonline.net/lote/detalhe/177963", " ONIBUS M.BENZ OF 1620, ANO 1995/1996, BEGE, FR81359, LOC. BENALCOOL ")</f>
      </c>
      <c r="C354" s="4" t="inlineStr">
        <is>
          <t>Vendido</t>
        </is>
      </c>
      <c r="D354" s="4" t="inlineStr">
        <is>
          <t>3</t>
        </is>
      </c>
      <c r="E354" s="5" t="inlineStr">
        <is>
          <t>15.750,00</t>
        </is>
      </c>
      <c r="F354" s="4" t="inlineStr">
        <is>
          <t>500.00</t>
        </is>
      </c>
    </row>
    <row collapsed="false" customFormat="false" customHeight="false" hidden="false" ht="12.1" outlineLevel="0" r="355">
      <c r="A355" s="5" t="s">
        <f>=HYPERLINK("https://leilaoonline.net/lote/detalhe/177952", "16462")</f>
      </c>
      <c r="B355" s="4" t="s">
        <f>=HYPERLINK("https://leilaoonline.net/lote/detalhe/177952", " CAMINHAO VW/15.190 WORKER, ANO 2012/2013, BRANCA, FR81311,  LOC. BENALCOOL ")</f>
      </c>
      <c r="C355" s="4" t="inlineStr">
        <is>
          <t>Não vendido</t>
        </is>
      </c>
      <c r="D355" s="4" t="inlineStr">
        <is>
          <t>2</t>
        </is>
      </c>
      <c r="E355" s="5" t="inlineStr">
        <is>
          <t>36.000,00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=HYPERLINK("https://leilaoonline.net/lote/detalhe/177991", "16469")</f>
      </c>
      <c r="B356" s="4" t="s">
        <f>=HYPERLINK("https://leilaoonline.net/lote/detalhe/177991", " CAMINHAO M.BEN/AXOR 3344S 6X4, ANO 2014/2014,  BRANCA,FR362091,   S/MOTOR E CAMBIO,LOC.BENALCOOL ")</f>
      </c>
      <c r="C356" s="4" t="inlineStr">
        <is>
          <t>Não vendido</t>
        </is>
      </c>
      <c r="D356" s="4" t="inlineStr">
        <is>
          <t>21</t>
        </is>
      </c>
      <c r="E356" s="5" t="inlineStr">
        <is>
          <t>40.000,00</t>
        </is>
      </c>
      <c r="F356" s="4" t="inlineStr">
        <is>
          <t>1000.00</t>
        </is>
      </c>
    </row>
    <row collapsed="false" customFormat="false" customHeight="false" hidden="false" ht="12.1" outlineLevel="0" r="357">
      <c r="A357" s="5" t="s">
        <f>=HYPERLINK("https://leilaoonline.net/lote/detalhe/177996", "16479")</f>
      </c>
      <c r="B357" s="4" t="s">
        <f>=HYPERLINK("https://leilaoonline.net/lote/detalhe/177996", " TRANSBORDO SANTAL 12T, ANO 2011, FR91269, LOC. DESTIVALE ")</f>
      </c>
      <c r="C357" s="4" t="inlineStr">
        <is>
          <t>Não vendido</t>
        </is>
      </c>
      <c r="D357" s="4" t="inlineStr">
        <is>
          <t>0</t>
        </is>
      </c>
      <c r="E357" s="5" t="inlineStr">
        <is>
          <t>10.000,00</t>
        </is>
      </c>
      <c r="F357" s="4" t="inlineStr">
        <is>
          <t>500.00</t>
        </is>
      </c>
    </row>
    <row collapsed="false" customFormat="false" customHeight="false" hidden="false" ht="12.1" outlineLevel="0" r="358">
      <c r="A358" s="5" t="s">
        <f>=HYPERLINK("https://leilaoonline.net/lote/detalhe/177961", "16504")</f>
      </c>
      <c r="B358" s="4" t="s">
        <f>=HYPERLINK("https://leilaoonline.net/lote/detalhe/177961", " TRATOR CASE MX235, ANO 2014,  FR 90958, LOC. GASA")</f>
      </c>
      <c r="C358" s="4" t="inlineStr">
        <is>
          <t>Não vendido</t>
        </is>
      </c>
      <c r="D358" s="4" t="inlineStr">
        <is>
          <t>9</t>
        </is>
      </c>
      <c r="E358" s="5" t="inlineStr">
        <is>
          <t>38.000,00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=HYPERLINK("https://leilaoonline.net/lote/detalhe/178595", "16569")</f>
      </c>
      <c r="B359" s="4" t="s">
        <f>=HYPERLINK("https://leilaoonline.net/lote/detalhe/178595", " TRATOR VALTRA 205I 4X4 HIFLOW, ANO 2011, FR360667, LOC. BENALCOOL ")</f>
      </c>
      <c r="C359" s="4" t="inlineStr">
        <is>
          <t>Vendido</t>
        </is>
      </c>
      <c r="D359" s="4" t="inlineStr">
        <is>
          <t>65</t>
        </is>
      </c>
      <c r="E359" s="5" t="inlineStr">
        <is>
          <t>99.000,00</t>
        </is>
      </c>
      <c r="F359" s="4" t="inlineStr">
        <is>
          <t>1000.00</t>
        </is>
      </c>
    </row>
    <row collapsed="false" customFormat="false" customHeight="false" hidden="false" ht="12.1" outlineLevel="0" r="360">
      <c r="A360" s="5" t="s">
        <f>=HYPERLINK("https://leilaoonline.net/lote/detalhe/177973", "16571")</f>
      </c>
      <c r="B360" s="4" t="s">
        <f>=HYPERLINK("https://leilaoonline.net/lote/detalhe/177973", " PLANTADORA DE CANA AUTOMATICA DMB, ANO 2010, FR91551, LOC. BENALCOOL ")</f>
      </c>
      <c r="C360" s="4" t="inlineStr">
        <is>
          <t>Vendido</t>
        </is>
      </c>
      <c r="D360" s="4" t="inlineStr">
        <is>
          <t>2</t>
        </is>
      </c>
      <c r="E360" s="5" t="inlineStr">
        <is>
          <t>10.500,00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=HYPERLINK("https://leilaoonline.net/lote/detalhe/178623", "16575")</f>
      </c>
      <c r="B361" s="4" t="s">
        <f>=HYPERLINK("https://leilaoonline.net/lote/detalhe/178623", " CARRETA TRANSB 30M3 2,80M 600/55-26.5, ANO 2014, FR173163, LOC. BENALCOOL ")</f>
      </c>
      <c r="C361" s="4" t="inlineStr">
        <is>
          <t>Não vendido</t>
        </is>
      </c>
      <c r="D361" s="4" t="inlineStr">
        <is>
          <t>1</t>
        </is>
      </c>
      <c r="E361" s="5" t="inlineStr">
        <is>
          <t>10.000,00</t>
        </is>
      </c>
      <c r="F361" s="4" t="inlineStr">
        <is>
          <t>1000.00</t>
        </is>
      </c>
    </row>
    <row collapsed="false" customFormat="false" customHeight="false" hidden="false" ht="12.1" outlineLevel="0" r="362">
      <c r="A362" s="5" t="s">
        <f>=HYPERLINK("https://leilaoonline.net/lote/detalhe/177982", "16578")</f>
      </c>
      <c r="B362" s="4" t="s">
        <f>=HYPERLINK("https://leilaoonline.net/lote/detalhe/177982", " PLANTADORA CANA AUTOMATICA DMB, ANO 2010, FR84709, LOC. BENALCOOL")</f>
      </c>
      <c r="C362" s="4" t="inlineStr">
        <is>
          <t>Vendido</t>
        </is>
      </c>
      <c r="D362" s="4" t="inlineStr">
        <is>
          <t>1</t>
        </is>
      </c>
      <c r="E362" s="5" t="inlineStr">
        <is>
          <t>10.000,00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=HYPERLINK("https://leilaoonline.net/lote/detalhe/177976", "16580")</f>
      </c>
      <c r="B363" s="4" t="s">
        <f>=HYPERLINK("https://leilaoonline.net/lote/detalhe/177976", " TRATOR CASE MX240, ANO 2010, FR91434, LOC. BENALCOOL ")</f>
      </c>
      <c r="C363" s="4" t="inlineStr">
        <is>
          <t>Vendido</t>
        </is>
      </c>
      <c r="D363" s="4" t="inlineStr">
        <is>
          <t>26</t>
        </is>
      </c>
      <c r="E363" s="5" t="inlineStr">
        <is>
          <t>50.000,00</t>
        </is>
      </c>
      <c r="F363" s="4" t="inlineStr">
        <is>
          <t>1000.00</t>
        </is>
      </c>
    </row>
    <row collapsed="false" customFormat="false" customHeight="false" hidden="false" ht="12.1" outlineLevel="0" r="364">
      <c r="A364" s="5" t="s">
        <f>=HYPERLINK("https://leilaoonline.net/lote/detalhe/177977", "16629")</f>
      </c>
      <c r="B364" s="4" t="s">
        <f>=HYPERLINK("https://leilaoonline.net/lote/detalhe/177977", " 01 MOTOBOMBA OM 447-A, ANO 2008, 01 HIDROROL METALMAG, ANO 2001, FR91816, LOC. DESTIVALE ")</f>
      </c>
      <c r="C364" s="4" t="inlineStr">
        <is>
          <t>Vendido</t>
        </is>
      </c>
      <c r="D364" s="4" t="inlineStr">
        <is>
          <t>17</t>
        </is>
      </c>
      <c r="E364" s="5" t="inlineStr">
        <is>
          <t>15.000,00</t>
        </is>
      </c>
      <c r="F364" s="4" t="inlineStr">
        <is>
          <t>500.00</t>
        </is>
      </c>
    </row>
    <row collapsed="false" customFormat="false" customHeight="false" hidden="false" ht="12.1" outlineLevel="0" r="365">
      <c r="A365" s="5" t="s">
        <f>=HYPERLINK("https://leilaoonline.net/lote/detalhe/177956", "16631")</f>
      </c>
      <c r="B365" s="4" t="s">
        <f>=HYPERLINK("https://leilaoonline.net/lote/detalhe/177956", " COLHEDORA JOHN DEERE 3522 2L, ANO 2013, FR81725, LOC. DESTIVALE ")</f>
      </c>
      <c r="C365" s="4" t="inlineStr">
        <is>
          <t>Vendido</t>
        </is>
      </c>
      <c r="D365" s="4" t="inlineStr">
        <is>
          <t>1</t>
        </is>
      </c>
      <c r="E365" s="5" t="inlineStr">
        <is>
          <t>25.000,00</t>
        </is>
      </c>
      <c r="F365" s="4" t="inlineStr">
        <is>
          <t>1000.00</t>
        </is>
      </c>
    </row>
    <row collapsed="false" customFormat="false" customHeight="false" hidden="false" ht="12.1" outlineLevel="0" r="366">
      <c r="A366" s="5" t="s">
        <f>=HYPERLINK("https://leilaoonline.net/lote/detalhe/177162", "17331")</f>
      </c>
      <c r="B366" s="4" t="s">
        <f>=HYPERLINK("https://leilaoonline.net/lote/detalhe/177162", " CARRETA P/ FARDO DE PALHA, FR48309, LOC. IPAUSSU ")</f>
      </c>
      <c r="C366" s="4" t="inlineStr">
        <is>
          <t>Não vendido</t>
        </is>
      </c>
      <c r="D366" s="4" t="inlineStr">
        <is>
          <t>7</t>
        </is>
      </c>
      <c r="E366" s="5" t="inlineStr">
        <is>
          <t>7.000,00</t>
        </is>
      </c>
      <c r="F366" s="4" t="inlineStr">
        <is>
          <t>250.00</t>
        </is>
      </c>
    </row>
    <row collapsed="false" customFormat="false" customHeight="false" hidden="false" ht="12.1" outlineLevel="0" r="367">
      <c r="A367" s="5" t="s">
        <f>=HYPERLINK("https://leilaoonline.net/lote/detalhe/177160", "17332")</f>
      </c>
      <c r="B367" s="4" t="s">
        <f>=HYPERLINK("https://leilaoonline.net/lote/detalhe/177160", " CARRETA P/ FARDO DE PALHA, FR48311, LOC. IPAUSSU ")</f>
      </c>
      <c r="C367" s="4" t="inlineStr">
        <is>
          <t>Não vendido</t>
        </is>
      </c>
      <c r="D367" s="4" t="inlineStr">
        <is>
          <t>6</t>
        </is>
      </c>
      <c r="E367" s="5" t="inlineStr">
        <is>
          <t>7.000,00</t>
        </is>
      </c>
      <c r="F367" s="4" t="inlineStr">
        <is>
          <t>250.00</t>
        </is>
      </c>
    </row>
    <row collapsed="false" customFormat="false" customHeight="false" hidden="false" ht="12.1" outlineLevel="0" r="368">
      <c r="A368" s="5" t="s">
        <f>=HYPERLINK("https://leilaoonline.net/lote/detalhe/177164", "17334")</f>
      </c>
      <c r="B368" s="4" t="s">
        <f>=HYPERLINK("https://leilaoonline.net/lote/detalhe/177164", " 1 PULVERIZADOR, FR48282, LOC. IPAUSSU 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2.500,00</t>
        </is>
      </c>
      <c r="F368" s="4" t="inlineStr">
        <is>
          <t>250.00</t>
        </is>
      </c>
    </row>
    <row collapsed="false" customFormat="false" customHeight="false" hidden="false" ht="12.1" outlineLevel="0" r="369">
      <c r="A369" s="5" t="s">
        <f>=HYPERLINK("https://leilaoonline.net/lote/detalhe/177165", "17336")</f>
      </c>
      <c r="B369" s="4" t="s">
        <f>=HYPERLINK("https://leilaoonline.net/lote/detalhe/177165", " TRANSBORDO ATA 12 T, FR47071, LOC. IPAUSSU ")</f>
      </c>
      <c r="C369" s="4" t="inlineStr">
        <is>
          <t>Vendido</t>
        </is>
      </c>
      <c r="D369" s="4" t="inlineStr">
        <is>
          <t>2</t>
        </is>
      </c>
      <c r="E369" s="5" t="inlineStr">
        <is>
          <t>12.000,00</t>
        </is>
      </c>
      <c r="F369" s="4" t="inlineStr">
        <is>
          <t>1000.00</t>
        </is>
      </c>
    </row>
    <row collapsed="false" customFormat="false" customHeight="false" hidden="false" ht="12.1" outlineLevel="0" r="370">
      <c r="A370" s="5" t="s">
        <f>=HYPERLINK("https://leilaoonline.net/lote/detalhe/178625", "17352")</f>
      </c>
      <c r="B370" s="4" t="s">
        <f>=HYPERLINK("https://leilaoonline.net/lote/detalhe/178625", " CAMINHÃO VW/31.320 CNC 6X4, ANO 2010/2010, BRANCA, FR91235, LOC. DESTIVALE ")</f>
      </c>
      <c r="C370" s="4" t="inlineStr">
        <is>
          <t>Não vendido</t>
        </is>
      </c>
      <c r="D370" s="4" t="inlineStr">
        <is>
          <t>61</t>
        </is>
      </c>
      <c r="E370" s="5" t="inlineStr">
        <is>
          <t>100.000,00</t>
        </is>
      </c>
      <c r="F370" s="4" t="inlineStr">
        <is>
          <t>1000.00</t>
        </is>
      </c>
    </row>
    <row collapsed="false" customFormat="false" customHeight="false" hidden="false" ht="12.1" outlineLevel="0" r="371">
      <c r="A371" s="5" t="s">
        <f>=HYPERLINK("https://leilaoonline.net/lote/detalhe/177953", "17353")</f>
      </c>
      <c r="B371" s="4" t="s">
        <f>=HYPERLINK("https://leilaoonline.net/lote/detalhe/177953", " CAMINHAO VW/ 31.330 BMB CRC CM, ANO 2012/2012, BRANCA, FR91247, LOC. DESTIVALE ")</f>
      </c>
      <c r="C371" s="4" t="inlineStr">
        <is>
          <t>Não vendido</t>
        </is>
      </c>
      <c r="D371" s="4" t="inlineStr">
        <is>
          <t>69</t>
        </is>
      </c>
      <c r="E371" s="5" t="inlineStr">
        <is>
          <t>152.000,00</t>
        </is>
      </c>
      <c r="F371" s="4" t="inlineStr">
        <is>
          <t>1000.00</t>
        </is>
      </c>
    </row>
    <row collapsed="false" customFormat="false" customHeight="false" hidden="false" ht="12.1" outlineLevel="0" r="372">
      <c r="A372" s="5" t="s">
        <f>=HYPERLINK("https://leilaoonline.net/lote/detalhe/177969", "17354")</f>
      </c>
      <c r="B372" s="4" t="s">
        <f>=HYPERLINK("https://leilaoonline.net/lote/detalhe/177969", " CAMINHAO VOLKSWAGEN 31.320 CNC 6X4, ANO 2011/2012, BRANCA, FR91243, CAR. TRANSB., LOC. DESTIVALE ")</f>
      </c>
      <c r="C372" s="4" t="inlineStr">
        <is>
          <t>Não vendido</t>
        </is>
      </c>
      <c r="D372" s="4" t="inlineStr">
        <is>
          <t>37</t>
        </is>
      </c>
      <c r="E372" s="5" t="inlineStr">
        <is>
          <t>103.000,00</t>
        </is>
      </c>
      <c r="F372" s="4" t="inlineStr">
        <is>
          <t>1000.00</t>
        </is>
      </c>
    </row>
    <row collapsed="false" customFormat="false" customHeight="false" hidden="false" ht="12.1" outlineLevel="0" r="373">
      <c r="A373" s="5" t="s">
        <f>=HYPERLINK("https://leilaoonline.net/lote/detalhe/178620", "17355")</f>
      </c>
      <c r="B373" s="4" t="s">
        <f>=HYPERLINK("https://leilaoonline.net/lote/detalhe/178620", " CARRETA ESPARRAMADORA CALCAREO SOLLUS, ANO 2006, FR91791, LOC. DESTIVALE ")</f>
      </c>
      <c r="C373" s="4" t="inlineStr">
        <is>
          <t>Não vendido</t>
        </is>
      </c>
      <c r="D373" s="4" t="inlineStr">
        <is>
          <t>2</t>
        </is>
      </c>
      <c r="E373" s="5" t="inlineStr">
        <is>
          <t>4.000,00</t>
        </is>
      </c>
      <c r="F373" s="4" t="inlineStr">
        <is>
          <t>500.00</t>
        </is>
      </c>
    </row>
    <row collapsed="false" customFormat="false" customHeight="false" hidden="false" ht="12.1" outlineLevel="0" r="374">
      <c r="A374" s="5" t="s">
        <f>=HYPERLINK("https://leilaoonline.net/lote/detalhe/177959", "17356")</f>
      </c>
      <c r="B374" s="4" t="s">
        <f>=HYPERLINK("https://leilaoonline.net/lote/detalhe/177959", " TRANSBORDO SANTAL 12T, ANO 2011, FR91290, LOC. DESTIVALE 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10.000,00</t>
        </is>
      </c>
      <c r="F374" s="4" t="inlineStr">
        <is>
          <t>1000.00</t>
        </is>
      </c>
    </row>
    <row collapsed="false" customFormat="false" customHeight="false" hidden="false" ht="12.1" outlineLevel="0" r="375">
      <c r="A375" s="5" t="s">
        <f>=HYPERLINK("https://leilaoonline.net/lote/detalhe/178609", "17357")</f>
      </c>
      <c r="B375" s="4" t="s">
        <f>=HYPERLINK("https://leilaoonline.net/lote/detalhe/178609", " CARRETA ESPARRAMADORA TORTA FILTRO SPANDER, ANO 2012, FR173563, LOC. BENALCOOL ")</f>
      </c>
      <c r="C375" s="4" t="inlineStr">
        <is>
          <t>Não vendido</t>
        </is>
      </c>
      <c r="D375" s="4" t="inlineStr">
        <is>
          <t>0</t>
        </is>
      </c>
      <c r="E375" s="5" t="inlineStr">
        <is>
          <t>3.500,00</t>
        </is>
      </c>
      <c r="F375" s="4" t="inlineStr">
        <is>
          <t>250.00</t>
        </is>
      </c>
    </row>
    <row collapsed="false" customFormat="false" customHeight="false" hidden="false" ht="12.1" outlineLevel="0" r="376">
      <c r="A376" s="5" t="s">
        <f>=HYPERLINK("https://leilaoonline.net/lote/detalhe/177957", "17358")</f>
      </c>
      <c r="B376" s="4" t="s">
        <f>=HYPERLINK("https://leilaoonline.net/lote/detalhe/177957", " TRANSBORDO SANTAL 12T, ANO 2014, FR84630, LOC. BENALCCOL ")</f>
      </c>
      <c r="C376" s="4" t="inlineStr">
        <is>
          <t>Vendido</t>
        </is>
      </c>
      <c r="D376" s="4" t="inlineStr">
        <is>
          <t>1</t>
        </is>
      </c>
      <c r="E376" s="5" t="inlineStr">
        <is>
          <t>10.000,00</t>
        </is>
      </c>
      <c r="F376" s="4" t="inlineStr">
        <is>
          <t>1000.00</t>
        </is>
      </c>
    </row>
    <row collapsed="false" customFormat="false" customHeight="false" hidden="false" ht="12.1" outlineLevel="0" r="377">
      <c r="A377" s="5" t="s">
        <f>=HYPERLINK("https://leilaoonline.net/lote/detalhe/177966", "17359")</f>
      </c>
      <c r="B377" s="4" t="s">
        <f>=HYPERLINK("https://leilaoonline.net/lote/detalhe/177966", " TRANSBORDO SANTAL 12T, ANO 2014, FR81627, LOC. BENALCCOL 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10.000,00</t>
        </is>
      </c>
      <c r="F377" s="4" t="inlineStr">
        <is>
          <t>1000.00</t>
        </is>
      </c>
    </row>
    <row collapsed="false" customFormat="false" customHeight="false" hidden="false" ht="12.1" outlineLevel="0" r="378">
      <c r="A378" s="5" t="s">
        <f>=HYPERLINK("https://leilaoonline.net/lote/detalhe/178598", "17360")</f>
      </c>
      <c r="B378" s="4" t="s">
        <f>=HYPERLINK("https://leilaoonline.net/lote/detalhe/178598", " TRANSBORDO ATA 12000 12T, ANO 2010, FR123730,  LOC. BENALCOOL ")</f>
      </c>
      <c r="C378" s="4" t="inlineStr">
        <is>
          <t>Vendido</t>
        </is>
      </c>
      <c r="D378" s="4" t="inlineStr">
        <is>
          <t>1</t>
        </is>
      </c>
      <c r="E378" s="5" t="inlineStr">
        <is>
          <t>11.000,00</t>
        </is>
      </c>
      <c r="F378" s="4" t="inlineStr">
        <is>
          <t>1000.00</t>
        </is>
      </c>
    </row>
    <row collapsed="false" customFormat="false" customHeight="false" hidden="false" ht="12.1" outlineLevel="0" r="379">
      <c r="A379" s="5" t="s">
        <f>=HYPERLINK("https://leilaoonline.net/lote/detalhe/177978", "17361")</f>
      </c>
      <c r="B379" s="4" t="s">
        <f>=HYPERLINK("https://leilaoonline.net/lote/detalhe/177978", " CARRETA TRANSB 30M3 2,80M 600/55-26.5, ANO 2014, FR81560, LOC. BENALCCOL ")</f>
      </c>
      <c r="C379" s="4" t="inlineStr">
        <is>
          <t>Vendido</t>
        </is>
      </c>
      <c r="D379" s="4" t="inlineStr">
        <is>
          <t>1</t>
        </is>
      </c>
      <c r="E379" s="5" t="inlineStr">
        <is>
          <t>10.000,00</t>
        </is>
      </c>
      <c r="F379" s="4" t="inlineStr">
        <is>
          <t>1000.00</t>
        </is>
      </c>
    </row>
    <row collapsed="false" customFormat="false" customHeight="false" hidden="false" ht="12.1" outlineLevel="0" r="380">
      <c r="A380" s="5" t="s">
        <f>=HYPERLINK("https://leilaoonline.net/lote/detalhe/177972", "17362")</f>
      </c>
      <c r="B380" s="4" t="s">
        <f>=HYPERLINK("https://leilaoonline.net/lote/detalhe/177972", " CAMINHAO VW/31.320  CNC 6X4, ANO 2011/2012, BRANCA, FR81302,  CAR. TRANSB., LOC. BENALCCOL ")</f>
      </c>
      <c r="C380" s="4" t="inlineStr">
        <is>
          <t>Não vendido</t>
        </is>
      </c>
      <c r="D380" s="4" t="inlineStr">
        <is>
          <t>43</t>
        </is>
      </c>
      <c r="E380" s="5" t="inlineStr">
        <is>
          <t>109.000,00</t>
        </is>
      </c>
      <c r="F380" s="4" t="inlineStr">
        <is>
          <t>1000.00</t>
        </is>
      </c>
    </row>
    <row collapsed="false" customFormat="false" customHeight="false" hidden="false" ht="12.1" outlineLevel="0" r="381">
      <c r="A381" s="5" t="s">
        <f>=HYPERLINK("https://leilaoonline.net/lote/detalhe/178592", "17365")</f>
      </c>
      <c r="B381" s="4" t="s">
        <f>=HYPERLINK("https://leilaoonline.net/lote/detalhe/178592", " CAMINHAO SCANIA/R113 E 6X4 360, ANO 1995/1995, BRANCA, FR173609, LOC. BENALCOOL ")</f>
      </c>
      <c r="C381" s="4" t="inlineStr">
        <is>
          <t>Não vendido</t>
        </is>
      </c>
      <c r="D381" s="4" t="inlineStr">
        <is>
          <t>25</t>
        </is>
      </c>
      <c r="E381" s="5" t="inlineStr">
        <is>
          <t>39.000,00</t>
        </is>
      </c>
      <c r="F381" s="4" t="inlineStr">
        <is>
          <t>1000.00</t>
        </is>
      </c>
    </row>
    <row collapsed="false" customFormat="false" customHeight="false" hidden="false" ht="12.1" outlineLevel="0" r="382">
      <c r="A382" s="5" t="s">
        <f>=HYPERLINK("https://leilaoonline.net/lote/detalhe/177990", "17366")</f>
      </c>
      <c r="B382" s="4" t="s">
        <f>=HYPERLINK("https://leilaoonline.net/lote/detalhe/177990", " TRANSBORDO ATA 12000 12T, ANO 2012, FR123760, LOC. MUNDIAL ")</f>
      </c>
      <c r="C382" s="4" t="inlineStr">
        <is>
          <t>Vendido</t>
        </is>
      </c>
      <c r="D382" s="4" t="inlineStr">
        <is>
          <t>1</t>
        </is>
      </c>
      <c r="E382" s="5" t="inlineStr">
        <is>
          <t>10.000,00</t>
        </is>
      </c>
      <c r="F382" s="4" t="inlineStr">
        <is>
          <t>1000.00</t>
        </is>
      </c>
    </row>
    <row collapsed="false" customFormat="false" customHeight="false" hidden="false" ht="12.1" outlineLevel="0" r="383">
      <c r="A383" s="5" t="s">
        <f>=HYPERLINK("https://leilaoonline.net/lote/detalhe/177950", "17367")</f>
      </c>
      <c r="B383" s="4" t="s">
        <f>=HYPERLINK("https://leilaoonline.net/lote/detalhe/177950", " TRANSBORDO ATA 12000 12T, ANO 2012, FR93868,LOC. MUNDIAL ")</f>
      </c>
      <c r="C383" s="4" t="inlineStr">
        <is>
          <t>Vendido</t>
        </is>
      </c>
      <c r="D383" s="4" t="inlineStr">
        <is>
          <t>1</t>
        </is>
      </c>
      <c r="E383" s="5" t="inlineStr">
        <is>
          <t>10.000,00</t>
        </is>
      </c>
      <c r="F383" s="4" t="inlineStr">
        <is>
          <t>1000.00</t>
        </is>
      </c>
    </row>
    <row collapsed="false" customFormat="false" customHeight="false" hidden="false" ht="12.1" outlineLevel="0" r="384">
      <c r="A384" s="5" t="s">
        <f>=HYPERLINK("https://leilaoonline.net/lote/detalhe/178616", "17369")</f>
      </c>
      <c r="B384" s="4" t="s">
        <f>=HYPERLINK("https://leilaoonline.net/lote/detalhe/178616", " TRANSBORDO SANTAL 12T, ANO 2014, FR91442, LOC. MUNDIAL ")</f>
      </c>
      <c r="C384" s="4" t="inlineStr">
        <is>
          <t>Vendido</t>
        </is>
      </c>
      <c r="D384" s="4" t="inlineStr">
        <is>
          <t>14</t>
        </is>
      </c>
      <c r="E384" s="5" t="inlineStr">
        <is>
          <t>20.500,00</t>
        </is>
      </c>
      <c r="F384" s="4" t="inlineStr">
        <is>
          <t>1000.00</t>
        </is>
      </c>
    </row>
    <row collapsed="false" customFormat="false" customHeight="false" hidden="false" ht="12.1" outlineLevel="0" r="385">
      <c r="A385" s="5" t="s">
        <f>=HYPERLINK("https://leilaoonline.net/lote/detalhe/177713", "18150")</f>
      </c>
      <c r="B385" s="4" t="s">
        <f>=HYPERLINK("https://leilaoonline.net/lote/detalhe/177713", "SUCATA DE TUBOS DE ALUMINIO AMASSADOS, LOCALIZADOS EM JATAI, GOIAS, PESO ESTIMADO 20 TON  ( VENDA POR KILO ) LOC. JATAI /GO")</f>
      </c>
      <c r="C385" s="4" t="inlineStr">
        <is>
          <t>Vendido</t>
        </is>
      </c>
      <c r="D385" s="4" t="inlineStr">
        <is>
          <t>78</t>
        </is>
      </c>
      <c r="E385" s="5" t="inlineStr">
        <is>
          <t>208.000,00</t>
        </is>
      </c>
      <c r="F385" s="4" t="inlineStr">
        <is>
          <t>0.10</t>
        </is>
      </c>
    </row>
    <row collapsed="false" customFormat="false" customHeight="false" hidden="false" ht="12.1" outlineLevel="0" r="386">
      <c r="A386" s="5" t="s">
        <f>=HYPERLINK("https://leilaoonline.net/lote/detalhe/178000", "18151")</f>
      </c>
      <c r="B386" s="4" t="s">
        <f>=HYPERLINK("https://leilaoonline.net/lote/detalhe/178000", "SUCATAS DE AÇO FERRO:  PESO ESTIMADO APROX. 2 TON.-  3 CONJUNTO DE FILTRO, 1 BOMBA DE ABASTECIMENTO, PEÇAS DE COLHEDORA, 01 COMPONENTE DE TRANSFORMADOR, 03 TUBOS, 02 VIGAS, 01 ROSCA, 10 RODAS, 01 PALETE COM CUICAS,( VENDA POR KILO)  S/FR, LOC. JATAI ")</f>
      </c>
      <c r="C386" s="4" t="inlineStr">
        <is>
          <t>Vendido</t>
        </is>
      </c>
      <c r="D386" s="4" t="inlineStr">
        <is>
          <t>18</t>
        </is>
      </c>
      <c r="E386" s="5" t="inlineStr">
        <is>
          <t>5.750,00</t>
        </is>
      </c>
      <c r="F386" s="4" t="inlineStr">
        <is>
          <t>250.00</t>
        </is>
      </c>
    </row>
    <row collapsed="false" customFormat="false" customHeight="false" hidden="false" ht="12.1" outlineLevel="0" r="387">
      <c r="A387" s="5" t="s">
        <f>=HYPERLINK("https://leilaoonline.net/lote/detalhe/178019", "18152")</f>
      </c>
      <c r="B387" s="4" t="s">
        <f>=HYPERLINK("https://leilaoonline.net/lote/detalhe/178019", "SUCATA DE MÓVEIS CONTENDO 4 AR CONDICIONADO, 15 CADEIRAS, 01 TANQUINHO E UTENSILIOS, (APROX. EM QUANT. UM CAMINÃO TRUCK) , LOC. JATA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2.750,00</t>
        </is>
      </c>
      <c r="F387" s="4" t="inlineStr">
        <is>
          <t>250.00</t>
        </is>
      </c>
    </row>
    <row collapsed="false" customFormat="false" customHeight="false" hidden="false" ht="12.1" outlineLevel="0" r="388">
      <c r="A388" s="5" t="s">
        <f>=HYPERLINK("https://leilaoonline.net/lote/detalhe/178020", "18153")</f>
      </c>
      <c r="B388" s="4" t="s">
        <f>=HYPERLINK("https://leilaoonline.net/lote/detalhe/178020", "TRATOR VALTRA 205i 4X4 HIFLOW,  ANO 2011,  FR 163462, LOC. JATAI")</f>
      </c>
      <c r="C388" s="4" t="inlineStr">
        <is>
          <t>Não vendido</t>
        </is>
      </c>
      <c r="D388" s="4" t="inlineStr">
        <is>
          <t>47</t>
        </is>
      </c>
      <c r="E388" s="5" t="inlineStr">
        <is>
          <t>86.000,00</t>
        </is>
      </c>
      <c r="F388" s="4" t="inlineStr">
        <is>
          <t>1000.00</t>
        </is>
      </c>
    </row>
    <row collapsed="false" customFormat="false" customHeight="false" hidden="false" ht="12.1" outlineLevel="0" r="389">
      <c r="A389" s="5" t="s">
        <f>=HYPERLINK("https://leilaoonline.net/lote/detalhe/178021", "18154")</f>
      </c>
      <c r="B389" s="4" t="s">
        <f>=HYPERLINK("https://leilaoonline.net/lote/detalhe/178021", "APROX. 15 VALVULAS DIVERSOS TAMANHOS, 40 EIXOS CLOMADOS, TAMANHO APROX. DE 2 METROS,  BEBEDOUROS  DE AGUA, CONJUNTO  PAT. 110166, LOC. JATAI  ")</f>
      </c>
      <c r="C389" s="4" t="inlineStr">
        <is>
          <t>Vendido</t>
        </is>
      </c>
      <c r="D389" s="4" t="inlineStr">
        <is>
          <t>49</t>
        </is>
      </c>
      <c r="E389" s="5" t="inlineStr">
        <is>
          <t>14.500,00</t>
        </is>
      </c>
      <c r="F389" s="4" t="inlineStr">
        <is>
          <t>250.00</t>
        </is>
      </c>
    </row>
    <row collapsed="false" customFormat="false" customHeight="false" hidden="false" ht="12.1" outlineLevel="0" r="390">
      <c r="A390" s="5" t="s">
        <f>=HYPERLINK("https://leilaoonline.net/lote/detalhe/178031", "18155")</f>
      </c>
      <c r="B390" s="4" t="s">
        <f>=HYPERLINK("https://leilaoonline.net/lote/detalhe/178031", "LOTE COM APROX. 30 TON DE SUCATA DE CORRETES/TALISCA, MARTELO, VENDA PREÇO POR KG , LOC. JATAI  ")</f>
      </c>
      <c r="C390" s="4" t="inlineStr">
        <is>
          <t>Não vendido</t>
        </is>
      </c>
      <c r="D390" s="4" t="inlineStr">
        <is>
          <t>5</t>
        </is>
      </c>
      <c r="E390" s="5" t="inlineStr">
        <is>
          <t>45.000,00</t>
        </is>
      </c>
      <c r="F390" s="4" t="inlineStr">
        <is>
          <t>0.10</t>
        </is>
      </c>
    </row>
    <row collapsed="false" customFormat="false" customHeight="false" hidden="false" ht="12.1" outlineLevel="0" r="391">
      <c r="A391" s="5" t="s">
        <f>=HYPERLINK("https://leilaoonline.net/lote/detalhe/178050", "18156")</f>
      </c>
      <c r="B391" s="4" t="s">
        <f>=HYPERLINK("https://leilaoonline.net/lote/detalhe/178050", "CAMINHÃO M. BENZ/AXOR 3344S 6X4, ANO 2014/2014, BRANCA , FR131241,LOC. JATAI ")</f>
      </c>
      <c r="C391" s="4" t="inlineStr">
        <is>
          <t>Vendido</t>
        </is>
      </c>
      <c r="D391" s="4" t="inlineStr">
        <is>
          <t>114</t>
        </is>
      </c>
      <c r="E391" s="5" t="inlineStr">
        <is>
          <t>153.000,00</t>
        </is>
      </c>
      <c r="F391" s="4" t="inlineStr">
        <is>
          <t>1000.00</t>
        </is>
      </c>
    </row>
    <row collapsed="false" customFormat="false" customHeight="false" hidden="false" ht="12.1" outlineLevel="0" r="392">
      <c r="A392" s="5" t="s">
        <f>=HYPERLINK("https://leilaoonline.net/lote/detalhe/178061", "18157")</f>
      </c>
      <c r="B392" s="4" t="s">
        <f>=HYPERLINK("https://leilaoonline.net/lote/detalhe/178061", "CAMINHÃO M.BENZ/AXOR 3344S 6X4, ANO 2014/2014, BRANCA , FR362097, LOC. JATAI ")</f>
      </c>
      <c r="C392" s="4" t="inlineStr">
        <is>
          <t>Não vendido</t>
        </is>
      </c>
      <c r="D392" s="4" t="inlineStr">
        <is>
          <t>59</t>
        </is>
      </c>
      <c r="E392" s="5" t="inlineStr">
        <is>
          <t>154.000,00</t>
        </is>
      </c>
      <c r="F392" s="4" t="inlineStr">
        <is>
          <t>1000.00</t>
        </is>
      </c>
    </row>
    <row collapsed="false" customFormat="false" customHeight="false" hidden="false" ht="12.1" outlineLevel="0" r="393">
      <c r="A393" s="5" t="s">
        <f>=HYPERLINK("https://leilaoonline.net/lote/detalhe/178643", "18158")</f>
      </c>
      <c r="B393" s="4" t="s">
        <f>=HYPERLINK("https://leilaoonline.net/lote/detalhe/178643", "CARRETINHA C/ TANQUE AFERIDOR cap. Aprox.. 5 mil litros , LOC. JATAI")</f>
      </c>
      <c r="C393" s="4" t="inlineStr">
        <is>
          <t>Não vendido</t>
        </is>
      </c>
      <c r="D393" s="4" t="inlineStr">
        <is>
          <t>2</t>
        </is>
      </c>
      <c r="E393" s="5" t="inlineStr">
        <is>
          <t>5.250,00</t>
        </is>
      </c>
      <c r="F393" s="4" t="inlineStr">
        <is>
          <t>250.00</t>
        </is>
      </c>
    </row>
    <row collapsed="false" customFormat="false" customHeight="false" hidden="false" ht="12.1" outlineLevel="0" r="394">
      <c r="A394" s="5" t="s">
        <f>=HYPERLINK("https://leilaoonline.net/lote/detalhe/179324", "18159")</f>
      </c>
      <c r="B394" s="4" t="s">
        <f>=HYPERLINK("https://leilaoonline.net/lote/detalhe/179324", "SUCATA DE PLASTICO DURO,  RECHEIO DE TORRES E TUBOS DE PVC, PESO ESTIMADO 5 TON., VENDA POR LOTE,  LOC. JATAI ")</f>
      </c>
      <c r="C394" s="4" t="inlineStr">
        <is>
          <t>Vendido</t>
        </is>
      </c>
      <c r="D394" s="4" t="inlineStr">
        <is>
          <t>127</t>
        </is>
      </c>
      <c r="E394" s="5" t="inlineStr">
        <is>
          <t>1.780,00</t>
        </is>
      </c>
      <c r="F394" s="4" t="inlineStr">
        <is>
          <t>25.00</t>
        </is>
      </c>
    </row>
    <row collapsed="false" customFormat="false" customHeight="false" hidden="false" ht="12.1" outlineLevel="0" r="395">
      <c r="A395" s="5" t="s">
        <f>=HYPERLINK("https://leilaoonline.net/lote/detalhe/176892", "20534")</f>
      </c>
      <c r="B395" s="4" t="s">
        <f>=HYPERLINK("https://leilaoonline.net/lote/detalhe/176892", "REBOQUE RANDON RQ CA,  ANO 2012/2012,AZUL, 4E 12,5M TOMBO DIREITO (FALTANDO EIXOS E MOLAS), FR36294, LOC. BOM RETIRO ")</f>
      </c>
      <c r="C395" s="4" t="inlineStr">
        <is>
          <t>Não vendido</t>
        </is>
      </c>
      <c r="D395" s="4" t="inlineStr">
        <is>
          <t>1</t>
        </is>
      </c>
      <c r="E395" s="5" t="inlineStr">
        <is>
          <t>25.000,00</t>
        </is>
      </c>
      <c r="F395" s="4" t="inlineStr">
        <is>
          <t>1000.00</t>
        </is>
      </c>
    </row>
    <row collapsed="false" customFormat="false" customHeight="false" hidden="false" ht="12.1" outlineLevel="0" r="396">
      <c r="A396" s="5" t="s">
        <f>=HYPERLINK("https://leilaoonline.net/lote/detalhe/178612", "20581")</f>
      </c>
      <c r="B396" s="4" t="s">
        <f>=HYPERLINK("https://leilaoonline.net/lote/detalhe/178612", " ENXADA HOWARD ENGUNERING LIMITED ROTATIVA, ANO 2013, FR57323, LOC. BOM RETIRO ")</f>
      </c>
      <c r="C396" s="4" t="inlineStr">
        <is>
          <t>Não vendido</t>
        </is>
      </c>
      <c r="D396" s="4" t="inlineStr">
        <is>
          <t>4</t>
        </is>
      </c>
      <c r="E396" s="5" t="inlineStr">
        <is>
          <t>6.750,00</t>
        </is>
      </c>
      <c r="F396" s="4" t="inlineStr">
        <is>
          <t>500.00</t>
        </is>
      </c>
    </row>
    <row collapsed="false" customFormat="false" customHeight="false" hidden="false" ht="12.1" outlineLevel="0" r="397">
      <c r="A397" s="5" t="s">
        <f>=HYPERLINK("https://leilaoonline.net/lote/detalhe/176913", "20606")</f>
      </c>
      <c r="B397" s="4" t="s">
        <f>=HYPERLINK("https://leilaoonline.net/lote/detalhe/176913", " CARRETA ESPARRAMADORA CALCAREO SOLLUS, ANO 2011, FR25307, LOC. BOM RETIRO ")</f>
      </c>
      <c r="C397" s="4" t="inlineStr">
        <is>
          <t>Não vendido</t>
        </is>
      </c>
      <c r="D397" s="4" t="inlineStr">
        <is>
          <t>5</t>
        </is>
      </c>
      <c r="E397" s="5" t="inlineStr">
        <is>
          <t>3.500,00</t>
        </is>
      </c>
      <c r="F397" s="4" t="inlineStr">
        <is>
          <t>250.00</t>
        </is>
      </c>
    </row>
    <row collapsed="false" customFormat="false" customHeight="false" hidden="false" ht="12.1" outlineLevel="0" r="398">
      <c r="A398" s="5" t="s">
        <f>=HYPERLINK("https://leilaoonline.net/lote/detalhe/176916", "20609")</f>
      </c>
      <c r="B398" s="4" t="s">
        <f>=HYPERLINK("https://leilaoonline.net/lote/detalhe/176916", " COLHEDORA J.DEERE 3522 2L, ANO 2010, FR32225, LOC. BOM RETIRO 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25.000,00</t>
        </is>
      </c>
      <c r="F398" s="4" t="inlineStr">
        <is>
          <t>1000.00</t>
        </is>
      </c>
    </row>
    <row collapsed="false" customFormat="false" customHeight="false" hidden="false" ht="12.1" outlineLevel="0" r="399">
      <c r="A399" s="5" t="s">
        <f>=HYPERLINK("https://leilaoonline.net/lote/detalhe/178607", "20616")</f>
      </c>
      <c r="B399" s="4" t="s">
        <f>=HYPERLINK("https://leilaoonline.net/lote/detalhe/178607", " REBOQUE ANTONINI , ANO 1991/1991, BRANCA, FR56141, (NECESSARIO REMARCAÇAO DO CHASSI), LOC. BOM RETIRO ")</f>
      </c>
      <c r="C399" s="4" t="inlineStr">
        <is>
          <t>Vendido</t>
        </is>
      </c>
      <c r="D399" s="4" t="inlineStr">
        <is>
          <t>2</t>
        </is>
      </c>
      <c r="E399" s="5" t="inlineStr">
        <is>
          <t>10.500,00</t>
        </is>
      </c>
      <c r="F399" s="4" t="inlineStr">
        <is>
          <t>1000.00</t>
        </is>
      </c>
    </row>
    <row collapsed="false" customFormat="false" customHeight="false" hidden="false" ht="12.1" outlineLevel="0" r="400">
      <c r="A400" s="5" t="s">
        <f>=HYPERLINK("https://leilaoonline.net/lote/detalhe/176914", "20628")</f>
      </c>
      <c r="B400" s="4" t="s">
        <f>=HYPERLINK("https://leilaoonline.net/lote/detalhe/176914", " REBOQUE RANDONSP RQ CA, ANO 2010/2010, AZUL, 4E 12,5M TOMBO DIREITO, FR139928, LOC. BOM RETIRO ")</f>
      </c>
      <c r="C400" s="4" t="inlineStr">
        <is>
          <t>Não vendido</t>
        </is>
      </c>
      <c r="D400" s="4" t="inlineStr">
        <is>
          <t>1</t>
        </is>
      </c>
      <c r="E400" s="5" t="inlineStr">
        <is>
          <t>25.000,00</t>
        </is>
      </c>
      <c r="F400" s="4" t="inlineStr">
        <is>
          <t>1000.00</t>
        </is>
      </c>
    </row>
    <row collapsed="false" customFormat="false" customHeight="false" hidden="false" ht="12.1" outlineLevel="0" r="401">
      <c r="A401" s="5" t="s">
        <f>=HYPERLINK("https://leilaoonline.net/lote/detalhe/176918", "20629")</f>
      </c>
      <c r="B401" s="4" t="s">
        <f>=HYPERLINK("https://leilaoonline.net/lote/detalhe/176918", " SEMI-REBOQUE RANDON, SRCA CA, ANO 2008/2008, AZUL, 12,50M CANA INTEIRA TOMBO DIREITO, FR139667 (REMARCAÇAO DE CHASSI), LOC. BOM RETIRO 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25.000,00</t>
        </is>
      </c>
      <c r="F401" s="4" t="inlineStr">
        <is>
          <t>1000.00</t>
        </is>
      </c>
    </row>
    <row collapsed="false" customFormat="false" customHeight="false" hidden="false" ht="12.1" outlineLevel="0" r="402">
      <c r="A402" s="5" t="s">
        <f>=HYPERLINK("https://leilaoonline.net/lote/detalhe/176920", "20637")</f>
      </c>
      <c r="B402" s="4" t="s">
        <f>=HYPERLINK("https://leilaoonline.net/lote/detalhe/176920", " COLHEDORA JOHN DEERE MODELO 3522 2L, ANO 2011, FR50147, LOC. BOM RETIRO 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25.000,00</t>
        </is>
      </c>
      <c r="F402" s="4" t="inlineStr">
        <is>
          <t>1000.00</t>
        </is>
      </c>
    </row>
    <row collapsed="false" customFormat="false" customHeight="false" hidden="false" ht="12.1" outlineLevel="0" r="403">
      <c r="A403" s="5" t="s">
        <f>=HYPERLINK("https://leilaoonline.net/lote/detalhe/177725", "20640")</f>
      </c>
      <c r="B403" s="4" t="s">
        <f>=HYPERLINK("https://leilaoonline.net/lote/detalhe/177725", " CARRETINHA DE SERVIÇO GERAIS , S/FR, LOC. BOM RETIRO 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3.000,00</t>
        </is>
      </c>
      <c r="F403" s="4" t="inlineStr">
        <is>
          <t>250.00</t>
        </is>
      </c>
    </row>
    <row collapsed="false" customFormat="false" customHeight="false" hidden="false" ht="12.1" outlineLevel="0" r="404">
      <c r="A404" s="5" t="s">
        <f>=HYPERLINK("https://leilaoonline.net/lote/detalhe/176900", "20647")</f>
      </c>
      <c r="B404" s="4" t="s">
        <f>=HYPERLINK("https://leilaoonline.net/lote/detalhe/176900", " TRITURADOR CANA TRC VICON, ANO 2013, FR25280, LOC. BOM RETIRO ")</f>
      </c>
      <c r="C404" s="4" t="inlineStr">
        <is>
          <t>Não vendido</t>
        </is>
      </c>
      <c r="D404" s="4" t="inlineStr">
        <is>
          <t>1</t>
        </is>
      </c>
      <c r="E404" s="5" t="inlineStr">
        <is>
          <t>3.000,00</t>
        </is>
      </c>
      <c r="F404" s="4" t="inlineStr">
        <is>
          <t>500.00</t>
        </is>
      </c>
    </row>
    <row collapsed="false" customFormat="false" customHeight="false" hidden="false" ht="12.1" outlineLevel="0" r="405">
      <c r="A405" s="5" t="s">
        <f>=HYPERLINK("https://leilaoonline.net/lote/detalhe/176917", "20649")</f>
      </c>
      <c r="B405" s="4" t="s">
        <f>=HYPERLINK("https://leilaoonline.net/lote/detalhe/176917", " CARRETA DE TRANSPORTE TUBOS RAESA, ANO 2006, FR139957, LOC. BOM RETIRO 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2.000,00</t>
        </is>
      </c>
      <c r="F405" s="4" t="inlineStr">
        <is>
          <t>250.00</t>
        </is>
      </c>
    </row>
    <row collapsed="false" customFormat="false" customHeight="false" hidden="false" ht="12.1" outlineLevel="0" r="406">
      <c r="A406" s="5" t="s">
        <f>=HYPERLINK("https://leilaoonline.net/lote/detalhe/176915", "20661")</f>
      </c>
      <c r="B406" s="4" t="s">
        <f>=HYPERLINK("https://leilaoonline.net/lote/detalhe/176915", " REBOQUE RANDONSP RQ CA, ANO 2010/2010, AZUL,  4E 12,5M TOMBO DIREITO, FR139699, LOC. BOM RETIRO ")</f>
      </c>
      <c r="C406" s="4" t="inlineStr">
        <is>
          <t>Vendido</t>
        </is>
      </c>
      <c r="D406" s="4" t="inlineStr">
        <is>
          <t>1</t>
        </is>
      </c>
      <c r="E406" s="5" t="inlineStr">
        <is>
          <t>25.000,00</t>
        </is>
      </c>
      <c r="F406" s="4" t="inlineStr">
        <is>
          <t>1000.00</t>
        </is>
      </c>
    </row>
    <row collapsed="false" customFormat="false" customHeight="false" hidden="false" ht="12.1" outlineLevel="0" r="407">
      <c r="A407" s="5" t="s">
        <f>=HYPERLINK("https://leilaoonline.net/lote/detalhe/178606", "20673")</f>
      </c>
      <c r="B407" s="4" t="s">
        <f>=HYPERLINK("https://leilaoonline.net/lote/detalhe/178606", " BOMBA HIDROJATO, S/FR, LOC. SÃO FRANCISCO ")</f>
      </c>
      <c r="C407" s="4" t="inlineStr">
        <is>
          <t>Vendido</t>
        </is>
      </c>
      <c r="D407" s="4" t="inlineStr">
        <is>
          <t>11</t>
        </is>
      </c>
      <c r="E407" s="5" t="inlineStr">
        <is>
          <t>5.500,00</t>
        </is>
      </c>
      <c r="F407" s="4" t="inlineStr">
        <is>
          <t>250.00</t>
        </is>
      </c>
    </row>
    <row collapsed="false" customFormat="false" customHeight="false" hidden="false" ht="12.1" outlineLevel="0" r="408">
      <c r="A408" s="5" t="s">
        <f>=HYPERLINK("https://leilaoonline.net/lote/detalhe/176923", "20685")</f>
      </c>
      <c r="B408" s="4" t="s">
        <f>=HYPERLINK("https://leilaoonline.net/lote/detalhe/176923", " SEMI-REBOQUE RANDON SRCA CA, ANO 2008/2008, AZUL, 12,50M - TOMBO DIREITO(REMARCAÇÃO DE CHASSI) (FALTANDO EIXOS E MOLAS), FR56275,LOC. BOM RETIRO ")</f>
      </c>
      <c r="C408" s="4" t="inlineStr">
        <is>
          <t>Não vendido</t>
        </is>
      </c>
      <c r="D408" s="4" t="inlineStr">
        <is>
          <t>1</t>
        </is>
      </c>
      <c r="E408" s="5" t="inlineStr">
        <is>
          <t>25.000,00</t>
        </is>
      </c>
      <c r="F408" s="4" t="inlineStr">
        <is>
          <t>1000.00</t>
        </is>
      </c>
    </row>
    <row collapsed="false" customFormat="false" customHeight="false" hidden="false" ht="12.1" outlineLevel="0" r="409">
      <c r="A409" s="5" t="s">
        <f>=HYPERLINK("https://leilaoonline.net/lote/detalhe/178604", "20694")</f>
      </c>
      <c r="B409" s="4" t="s">
        <f>=HYPERLINK("https://leilaoonline.net/lote/detalhe/178604", " REBOQUE RANDON RQ CA, 4E 12,5M TOMBO DIREITO, ANO 2010/2011, AZUL, FR66183, (FALTANDO EIXOS E MOLAS), LOC. BOM RETIRO ")</f>
      </c>
      <c r="C409" s="4" t="inlineStr">
        <is>
          <t>Não vendido</t>
        </is>
      </c>
      <c r="D409" s="4" t="inlineStr">
        <is>
          <t>1</t>
        </is>
      </c>
      <c r="E409" s="5" t="inlineStr">
        <is>
          <t>25.000,00</t>
        </is>
      </c>
      <c r="F409" s="4" t="inlineStr">
        <is>
          <t>1000.00</t>
        </is>
      </c>
    </row>
    <row collapsed="false" customFormat="false" customHeight="false" hidden="false" ht="12.1" outlineLevel="0" r="410">
      <c r="A410" s="5" t="s">
        <f>=HYPERLINK("https://leilaoonline.net/lote/detalhe/177744", "20712")</f>
      </c>
      <c r="B410" s="4" t="s">
        <f>=HYPERLINK("https://leilaoonline.net/lote/detalhe/177744", " TRATOR CASE PUMA 215 4x4 QUEIMADO , ANO 2020, FR7802092, LOC. LEME ")</f>
      </c>
      <c r="C410" s="4" t="inlineStr">
        <is>
          <t>Vendido</t>
        </is>
      </c>
      <c r="D410" s="4" t="inlineStr">
        <is>
          <t>1</t>
        </is>
      </c>
      <c r="E410" s="5" t="inlineStr">
        <is>
          <t>10.000,00</t>
        </is>
      </c>
      <c r="F410" s="4" t="inlineStr">
        <is>
          <t>500.00</t>
        </is>
      </c>
    </row>
    <row collapsed="false" customFormat="false" customHeight="false" hidden="false" ht="12.1" outlineLevel="0" r="411">
      <c r="A411" s="5" t="s">
        <f>=HYPERLINK("https://leilaoonline.net/lote/detalhe/178628", "20713")</f>
      </c>
      <c r="B411" s="4" t="s">
        <f>=HYPERLINK("https://leilaoonline.net/lote/detalhe/178628", " GRADE PESADA, S/FR, LOC. LEME ")</f>
      </c>
      <c r="C411" s="4" t="inlineStr">
        <is>
          <t>Vendido</t>
        </is>
      </c>
      <c r="D411" s="4" t="inlineStr">
        <is>
          <t>69</t>
        </is>
      </c>
      <c r="E411" s="5" t="inlineStr">
        <is>
          <t>36.750,00</t>
        </is>
      </c>
      <c r="F411" s="4" t="inlineStr">
        <is>
          <t>1000.00</t>
        </is>
      </c>
    </row>
    <row collapsed="false" customFormat="false" customHeight="false" hidden="false" ht="12.1" outlineLevel="0" r="412">
      <c r="A412" s="5" t="s">
        <f>=HYPERLINK("https://leilaoonline.net/lote/detalhe/177719", "20721")</f>
      </c>
      <c r="B412" s="4" t="s">
        <f>=HYPERLINK("https://leilaoonline.net/lote/detalhe/177719", " MOTO HONDA/NXR150 BROS ESD, ANO 2005/2005, VERMELHA,FR7066042, LOC. LEME  ")</f>
      </c>
      <c r="C412" s="4" t="inlineStr">
        <is>
          <t>Não vendido</t>
        </is>
      </c>
      <c r="D412" s="4" t="inlineStr">
        <is>
          <t>2</t>
        </is>
      </c>
      <c r="E412" s="5" t="inlineStr">
        <is>
          <t>3.250,00</t>
        </is>
      </c>
      <c r="F412" s="4" t="inlineStr">
        <is>
          <t>250.00</t>
        </is>
      </c>
    </row>
    <row collapsed="false" customFormat="false" customHeight="false" hidden="false" ht="12.1" outlineLevel="0" r="413">
      <c r="A413" s="5" t="s">
        <f>=HYPERLINK("https://leilaoonline.net/lote/detalhe/178069", "25200")</f>
      </c>
      <c r="B413" s="4" t="s">
        <f>=HYPERLINK("https://leilaoonline.net/lote/detalhe/178069", "132 ITENS DE INFORMATICA DIVERSOS:( 49 DESKTOP, 10 IMPRESSORAS, 46 MONITORES,1 NOBREAK, 12 NOTEBOOK, 1 RETROPROJETOR, 12 SWIITCH 24P, 01 VOLP GATEWAY 24C ) ,  VEJA DESCRITIVO DE ITENS, LOC. TARUMÃ 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3.000,00</t>
        </is>
      </c>
      <c r="F413" s="4" t="inlineStr">
        <is>
          <t>250.00</t>
        </is>
      </c>
    </row>
    <row collapsed="false" customFormat="false" customHeight="false" hidden="false" ht="12.1" outlineLevel="0" r="414">
      <c r="A414" s="5" t="s">
        <f>=HYPERLINK("https://leilaoonline.net/lote/detalhe/178070", "25201")</f>
      </c>
      <c r="B414" s="4" t="s">
        <f>=HYPERLINK("https://leilaoonline.net/lote/detalhe/178070", "108 ITENS DE INFORMATICA DIVERSOS, (02 SCANNER, 09 NOTEBOOK, 20 MONITORES, 10 IMPRESSORAS, 67 DESKTOP) VEJA DESCRITIVO DE ITENS, LOC. MARACAI ")</f>
      </c>
      <c r="C414" s="4" t="inlineStr">
        <is>
          <t>Não vendido</t>
        </is>
      </c>
      <c r="D414" s="4" t="inlineStr">
        <is>
          <t>2</t>
        </is>
      </c>
      <c r="E414" s="5" t="inlineStr">
        <is>
          <t>2.750,00</t>
        </is>
      </c>
      <c r="F414" s="4" t="inlineStr">
        <is>
          <t>250.00</t>
        </is>
      </c>
    </row>
    <row collapsed="false" customFormat="false" customHeight="false" hidden="false" ht="12.1" outlineLevel="0" r="415">
      <c r="A415" s="5" t="s">
        <f>=HYPERLINK("https://leilaoonline.net/lote/detalhe/178071", "25202")</f>
      </c>
      <c r="B415" s="4" t="s">
        <f>=HYPERLINK("https://leilaoonline.net/lote/detalhe/178071", "68 ITENS DE INFORMÁTICA DIVERSOS, (44 DESKTOP, 24 MONITORES ) ,  VEJA DESCRITIVO DE ITENS, LOC. MUNDIAL ")</f>
      </c>
      <c r="C415" s="4" t="inlineStr">
        <is>
          <t>Não vendido</t>
        </is>
      </c>
      <c r="D415" s="4" t="inlineStr">
        <is>
          <t>2</t>
        </is>
      </c>
      <c r="E415" s="5" t="inlineStr">
        <is>
          <t>1.750,00</t>
        </is>
      </c>
      <c r="F415" s="4" t="inlineStr">
        <is>
          <t>250.00</t>
        </is>
      </c>
    </row>
    <row collapsed="false" customFormat="false" customHeight="false" hidden="false" ht="12.1" outlineLevel="0" r="416">
      <c r="A416" s="5" t="s">
        <f>=HYPERLINK("https://leilaoonline.net/lote/detalhe/178450", "25205")</f>
      </c>
      <c r="B416" s="4" t="s">
        <f>=HYPERLINK("https://leilaoonline.net/lote/detalhe/178450", "MOTOR DIESEL SCANIA, S/FR, VEJA ESPECIFICAÇÕES , LOC. TERMINAL IPIRANGA / SP")</f>
      </c>
      <c r="C416" s="4" t="inlineStr">
        <is>
          <t>Vendido</t>
        </is>
      </c>
      <c r="D416" s="4" t="inlineStr">
        <is>
          <t>12</t>
        </is>
      </c>
      <c r="E416" s="5" t="inlineStr">
        <is>
          <t>10.500,00</t>
        </is>
      </c>
      <c r="F416" s="4" t="inlineStr">
        <is>
          <t>500.00</t>
        </is>
      </c>
    </row>
    <row collapsed="false" customFormat="false" customHeight="false" hidden="false" ht="12.1" outlineLevel="0" r="417">
      <c r="A417" s="5" t="s">
        <f>=HYPERLINK("https://leilaoonline.net/lote/detalhe/178624", "25206")</f>
      </c>
      <c r="B417" s="4" t="s">
        <f>=HYPERLINK("https://leilaoonline.net/lote/detalhe/178624", " LOTE DE BOMBAS 19 UNIDADE DIVERSOS MODELOS E TAMANHOS, VEJA ESPECIFICAÇÕES,  S/FR, LOC. TERMINAL IPIRANGA ")</f>
      </c>
      <c r="C417" s="4" t="inlineStr">
        <is>
          <t>Vendido</t>
        </is>
      </c>
      <c r="D417" s="4" t="inlineStr">
        <is>
          <t>12</t>
        </is>
      </c>
      <c r="E417" s="5" t="inlineStr">
        <is>
          <t>8.500,00</t>
        </is>
      </c>
      <c r="F417" s="4" t="inlineStr">
        <is>
          <t>500.00</t>
        </is>
      </c>
    </row>
    <row collapsed="false" customFormat="false" customHeight="false" hidden="false" ht="12.1" outlineLevel="0" r="418">
      <c r="A418" s="5" t="s">
        <f>=HYPERLINK("https://leilaoonline.net/lote/detalhe/178617", "25207")</f>
      </c>
      <c r="B418" s="4" t="s">
        <f>=HYPERLINK("https://leilaoonline.net/lote/detalhe/178617", " LOTE DE MOTORES ELETRICOS 12 UNIDADE DIVERSOS TAMANHOS E MODELOS, VEJA ESPECIFICAÇÕES,  S/FR, LOC. TERMINAL IPIRANGA ")</f>
      </c>
      <c r="C418" s="4" t="inlineStr">
        <is>
          <t>Vendido</t>
        </is>
      </c>
      <c r="D418" s="4" t="inlineStr">
        <is>
          <t>128</t>
        </is>
      </c>
      <c r="E418" s="5" t="inlineStr">
        <is>
          <t>53.000,00</t>
        </is>
      </c>
      <c r="F418" s="4" t="inlineStr">
        <is>
          <t>1000.00</t>
        </is>
      </c>
    </row>
    <row collapsed="false" customFormat="false" customHeight="false" hidden="false" ht="12.1" outlineLevel="0" r="419">
      <c r="A419" s="5" t="s">
        <f>=HYPERLINK("https://leilaoonline.net/lote/detalhe/178455", "25208")</f>
      </c>
      <c r="B419" s="4" t="s">
        <f>=HYPERLINK("https://leilaoonline.net/lote/detalhe/178455", "01  TRANSFORMADOR MARANGONI, S/ FR, VEJA ESPECIFICAÇÕES, LOC. TERMINAL IPIRANGA /SP ")</f>
      </c>
      <c r="C419" s="4" t="inlineStr">
        <is>
          <t>Vendido</t>
        </is>
      </c>
      <c r="D419" s="4" t="inlineStr">
        <is>
          <t>6</t>
        </is>
      </c>
      <c r="E419" s="5" t="inlineStr">
        <is>
          <t>7.500,00</t>
        </is>
      </c>
      <c r="F419" s="4" t="inlineStr">
        <is>
          <t>500.00</t>
        </is>
      </c>
    </row>
    <row collapsed="false" customFormat="false" customHeight="false" hidden="false" ht="12.1" outlineLevel="0" r="420">
      <c r="A420" s="5" t="s">
        <f>=HYPERLINK("https://leilaoonline.net/lote/detalhe/178456", "25209")</f>
      </c>
      <c r="B420" s="4" t="s">
        <f>=HYPERLINK("https://leilaoonline.net/lote/detalhe/178456", "01 CHAVE SECCIONAL HITACHI, S/FR, VEJA ESPECIFICAÇÕES- LOC.TERMINAL IPIRANGA/ SP  ")</f>
      </c>
      <c r="C420" s="4" t="inlineStr">
        <is>
          <t>Não vendido</t>
        </is>
      </c>
      <c r="D420" s="4" t="inlineStr">
        <is>
          <t>0</t>
        </is>
      </c>
      <c r="E420" s="5" t="inlineStr">
        <is>
          <t>5.000,00</t>
        </is>
      </c>
      <c r="F420" s="4" t="inlineStr">
        <is>
          <t>500.00</t>
        </is>
      </c>
    </row>
    <row collapsed="false" customFormat="false" customHeight="false" hidden="false" ht="12.1" outlineLevel="0" r="421">
      <c r="A421" s="5" t="s">
        <f>=HYPERLINK("https://leilaoonline.net/lote/detalhe/178457", "25210")</f>
      </c>
      <c r="B421" s="4" t="s">
        <f>=HYPERLINK("https://leilaoonline.net/lote/detalhe/178457", "02 MOTOBOMBAS ( 10 E 20 CV ) S/FR, VEJA ESPECIFICAÇÕES, LOC. TERMINAL IPIRANGA/SP ")</f>
      </c>
      <c r="C421" s="4" t="inlineStr">
        <is>
          <t>Não vendido</t>
        </is>
      </c>
      <c r="D421" s="4" t="inlineStr">
        <is>
          <t>1</t>
        </is>
      </c>
      <c r="E421" s="5" t="inlineStr">
        <is>
          <t>5.000,00</t>
        </is>
      </c>
      <c r="F421" s="4" t="inlineStr">
        <is>
          <t>500.00</t>
        </is>
      </c>
    </row>
    <row collapsed="false" customFormat="false" customHeight="false" hidden="false" ht="12.1" outlineLevel="0" r="422">
      <c r="A422" s="5" t="s">
        <f>=HYPERLINK("https://leilaoonline.net/lote/detalhe/178458", "25211")</f>
      </c>
      <c r="B422" s="4" t="s">
        <f>=HYPERLINK("https://leilaoonline.net/lote/detalhe/178458", "4 PÇS VALVULAS, TAMANHOS VARIADOS , S/FR, VEJA ESPECIFICAÇÕES, LOC. TERMINAL IPIRANGA / SP ")</f>
      </c>
      <c r="C422" s="4" t="inlineStr">
        <is>
          <t>Vendido</t>
        </is>
      </c>
      <c r="D422" s="4" t="inlineStr">
        <is>
          <t>3</t>
        </is>
      </c>
      <c r="E422" s="5" t="inlineStr">
        <is>
          <t>7.000,00</t>
        </is>
      </c>
      <c r="F422" s="4" t="inlineStr">
        <is>
          <t>500.00</t>
        </is>
      </c>
    </row>
    <row collapsed="false" customFormat="false" customHeight="false" hidden="false" ht="12.1" outlineLevel="0" r="423">
      <c r="A423" s="5" t="s">
        <f>=HYPERLINK("https://leilaoonline.net/lote/detalhe/178935", "25212")</f>
      </c>
      <c r="B423" s="4" t="s">
        <f>=HYPERLINK("https://leilaoonline.net/lote/detalhe/178935", "LOTE DE 14 CONDENSADORES HITACHI MOD. RAS, LOC. CAR PIRACICABA ")</f>
      </c>
      <c r="C423" s="4" t="inlineStr">
        <is>
          <t>Vendido</t>
        </is>
      </c>
      <c r="D423" s="4" t="inlineStr">
        <is>
          <t>29</t>
        </is>
      </c>
      <c r="E423" s="5" t="inlineStr">
        <is>
          <t>19.000,00</t>
        </is>
      </c>
      <c r="F423" s="4" t="inlineStr">
        <is>
          <t>500.00</t>
        </is>
      </c>
    </row>
    <row collapsed="false" customFormat="false" customHeight="false" hidden="false" ht="12.1" outlineLevel="0" r="424">
      <c r="A424" s="5" t="s">
        <f>=HYPERLINK("https://leilaoonline.net/lote/detalhe/178936", "25213")</f>
      </c>
      <c r="B424" s="4" t="s">
        <f>=HYPERLINK("https://leilaoonline.net/lote/detalhe/178936", "LOTE 4 TRANSFORMADORES DIVERSOS TAMANHOS E 2 PAINEIS ELETRICOS, LOC. CAR PIRACICABA ")</f>
      </c>
      <c r="C424" s="4" t="inlineStr">
        <is>
          <t>Vendido</t>
        </is>
      </c>
      <c r="D424" s="4" t="inlineStr">
        <is>
          <t>24</t>
        </is>
      </c>
      <c r="E424" s="5" t="inlineStr">
        <is>
          <t>16.500,00</t>
        </is>
      </c>
      <c r="F424" s="4" t="inlineStr">
        <is>
          <t>500.00</t>
        </is>
      </c>
    </row>
    <row collapsed="false" customFormat="false" customHeight="false" hidden="false" ht="12.1" outlineLevel="0" r="425">
      <c r="A425" s="5" t="s">
        <f>=HYPERLINK("https://leilaoonline.net/lote/detalhe/179796", "25500")</f>
      </c>
      <c r="B425" s="4" t="s">
        <f>=HYPERLINK("https://leilaoonline.net/lote/detalhe/179796", "GM/CORSA GL, ANO 2000/2001, BRANCA , LOC. ARAUCAIA / PR")</f>
      </c>
      <c r="C425" s="4" t="inlineStr">
        <is>
          <t>Vendido</t>
        </is>
      </c>
      <c r="D425" s="4" t="inlineStr">
        <is>
          <t>10</t>
        </is>
      </c>
      <c r="E425" s="5" t="inlineStr">
        <is>
          <t>7.250,00</t>
        </is>
      </c>
      <c r="F425" s="4" t="inlineStr">
        <is>
          <t>250.00</t>
        </is>
      </c>
    </row>
    <row collapsed="false" customFormat="false" customHeight="false" hidden="false" ht="12.1" outlineLevel="0" r="426">
      <c r="A426" s="5" t="s">
        <f>=HYPERLINK("https://leilaoonline.net/lote/detalhe/179797", "25501")</f>
      </c>
      <c r="B426" s="4" t="s">
        <f>=HYPERLINK("https://leilaoonline.net/lote/detalhe/179797", "RENAUT CLIO PRI1616VS, ANO 2008/2009, PRATA , LOC. ARAUCAIA /PR")</f>
      </c>
      <c r="C426" s="4" t="inlineStr">
        <is>
          <t>Vendido</t>
        </is>
      </c>
      <c r="D426" s="4" t="inlineStr">
        <is>
          <t>13</t>
        </is>
      </c>
      <c r="E426" s="5" t="inlineStr">
        <is>
          <t>11.000,00</t>
        </is>
      </c>
      <c r="F426" s="4" t="inlineStr">
        <is>
          <t>500.00</t>
        </is>
      </c>
    </row>
    <row collapsed="false" customFormat="false" customHeight="false" hidden="false" ht="12.1" outlineLevel="0" r="427">
      <c r="A427" s="5" t="s">
        <f>=HYPERLINK("https://leilaoonline.net/lote/detalhe/176877", "30054")</f>
      </c>
      <c r="B427" s="4" t="s">
        <f>=HYPERLINK("https://leilaoonline.net/lote/detalhe/176877", " REBOQUE SOUFER CA2E .Rod.Tran.S.Isabel 12T, ANO 2012/2012, CINZA, FR112329, LOC. SANTA HELENA ")</f>
      </c>
      <c r="C427" s="4" t="inlineStr">
        <is>
          <t>Vendido</t>
        </is>
      </c>
      <c r="D427" s="4" t="inlineStr">
        <is>
          <t>27</t>
        </is>
      </c>
      <c r="E427" s="5" t="inlineStr">
        <is>
          <t>41.000,00</t>
        </is>
      </c>
      <c r="F427" s="4" t="inlineStr">
        <is>
          <t>1000.00</t>
        </is>
      </c>
    </row>
    <row collapsed="false" customFormat="false" customHeight="false" hidden="false" ht="12.1" outlineLevel="0" r="428">
      <c r="A428" s="5" t="s">
        <f>=HYPERLINK("https://leilaoonline.net/lote/detalhe/176921", "30058")</f>
      </c>
      <c r="B428" s="4" t="s">
        <f>=HYPERLINK("https://leilaoonline.net/lote/detalhe/176921", " CAMINHÃO VW/26.220 EURO WORKWE 6x4, ANO 2010/2010, BRANCA, FR52490, LOC. SANTA HELENA ")</f>
      </c>
      <c r="C428" s="4" t="inlineStr">
        <is>
          <t>Não vendido</t>
        </is>
      </c>
      <c r="D428" s="4" t="inlineStr">
        <is>
          <t>41</t>
        </is>
      </c>
      <c r="E428" s="5" t="inlineStr">
        <is>
          <t>87.000,00</t>
        </is>
      </c>
      <c r="F428" s="4" t="inlineStr">
        <is>
          <t>1000.00</t>
        </is>
      </c>
    </row>
    <row collapsed="false" customFormat="false" customHeight="false" hidden="false" ht="12.1" outlineLevel="0" r="429">
      <c r="A429" s="5" t="s">
        <f>=HYPERLINK("https://leilaoonline.net/lote/detalhe/176911", "30072")</f>
      </c>
      <c r="B429" s="4" t="s">
        <f>=HYPERLINK("https://leilaoonline.net/lote/detalhe/176911", " GARRA DE MOENDA, SF, LOC. SANTA HELENA ")</f>
      </c>
      <c r="C429" s="4" t="inlineStr">
        <is>
          <t>Vendido</t>
        </is>
      </c>
      <c r="D429" s="4" t="inlineStr">
        <is>
          <t>4</t>
        </is>
      </c>
      <c r="E429" s="5" t="inlineStr">
        <is>
          <t>3.250,00</t>
        </is>
      </c>
      <c r="F429" s="4" t="inlineStr">
        <is>
          <t>250.00</t>
        </is>
      </c>
    </row>
    <row collapsed="false" customFormat="false" customHeight="false" hidden="false" ht="12.1" outlineLevel="0" r="430">
      <c r="A430" s="5" t="s">
        <f>=HYPERLINK("https://leilaoonline.net/lote/detalhe/176926", "30073")</f>
      </c>
      <c r="B430" s="4" t="s">
        <f>=HYPERLINK("https://leilaoonline.net/lote/detalhe/176926", " CARRETA SOLLUS MODELO SPANDER 12 0CHC, ANO 2012, FR57315, LOC. SANTA HELENA ")</f>
      </c>
      <c r="C430" s="4" t="inlineStr">
        <is>
          <t>Não vendido</t>
        </is>
      </c>
      <c r="D430" s="4" t="inlineStr">
        <is>
          <t>2</t>
        </is>
      </c>
      <c r="E430" s="5" t="inlineStr">
        <is>
          <t>2.750,00</t>
        </is>
      </c>
      <c r="F430" s="4" t="inlineStr">
        <is>
          <t>250.00</t>
        </is>
      </c>
    </row>
    <row collapsed="false" customFormat="false" customHeight="false" hidden="false" ht="12.1" outlineLevel="0" r="431">
      <c r="A431" s="5" t="s">
        <f>=HYPERLINK("https://leilaoonline.net/lote/detalhe/176901", "30085")</f>
      </c>
      <c r="B431" s="4" t="s">
        <f>=HYPERLINK("https://leilaoonline.net/lote/detalhe/176901", " PREPARADOR DE SOLO PENTA LIPOW, SF, LOC. RAFARD")</f>
      </c>
      <c r="C431" s="4" t="inlineStr">
        <is>
          <t>Vendido</t>
        </is>
      </c>
      <c r="D431" s="4" t="inlineStr">
        <is>
          <t>1</t>
        </is>
      </c>
      <c r="E431" s="5" t="inlineStr">
        <is>
          <t>2.500,00</t>
        </is>
      </c>
      <c r="F431" s="4" t="inlineStr">
        <is>
          <t>250.00</t>
        </is>
      </c>
    </row>
    <row collapsed="false" customFormat="false" customHeight="false" hidden="false" ht="12.1" outlineLevel="0" r="432">
      <c r="A432" s="5" t="s">
        <f>=HYPERLINK("https://leilaoonline.net/lote/detalhe/176924", "30086")</f>
      </c>
      <c r="B432" s="4" t="s">
        <f>=HYPERLINK("https://leilaoonline.net/lote/detalhe/176924", " PREPARADOR DE SOLO PENTA LIPOW, ANO 2012, FR103497, LOC. RAFARD")</f>
      </c>
      <c r="C432" s="4" t="inlineStr">
        <is>
          <t>Vendido</t>
        </is>
      </c>
      <c r="D432" s="4" t="inlineStr">
        <is>
          <t>1</t>
        </is>
      </c>
      <c r="E432" s="5" t="inlineStr">
        <is>
          <t>2.500,00</t>
        </is>
      </c>
      <c r="F432" s="4" t="inlineStr">
        <is>
          <t>250.00</t>
        </is>
      </c>
    </row>
    <row collapsed="false" customFormat="false" customHeight="false" hidden="false" ht="12.1" outlineLevel="0" r="433">
      <c r="A433" s="5" t="s">
        <f>=HYPERLINK("https://leilaoonline.net/lote/detalhe/176912", "30087")</f>
      </c>
      <c r="B433" s="4" t="s">
        <f>=HYPERLINK("https://leilaoonline.net/lote/detalhe/176912", " ELIMINADOR DE SOQUEIRA, FR140065, LOC. RAFARD ")</f>
      </c>
      <c r="C433" s="4" t="inlineStr">
        <is>
          <t>Não vendido</t>
        </is>
      </c>
      <c r="D433" s="4" t="inlineStr">
        <is>
          <t>3</t>
        </is>
      </c>
      <c r="E433" s="5" t="inlineStr">
        <is>
          <t>10.000,00</t>
        </is>
      </c>
      <c r="F433" s="4" t="inlineStr">
        <is>
          <t>500.00</t>
        </is>
      </c>
    </row>
    <row collapsed="false" customFormat="false" customHeight="false" hidden="false" ht="12.1" outlineLevel="0" r="434">
      <c r="A434" s="5" t="s">
        <f>=HYPERLINK("https://leilaoonline.net/lote/detalhe/177718", "30092")</f>
      </c>
      <c r="B434" s="4" t="s">
        <f>=HYPERLINK("https://leilaoonline.net/lote/detalhe/177718", " CULTIVADOR.Dist. Adubo DMB 2L,ANO 1996,  FR67028, LOC. BOM RETIRO ")</f>
      </c>
      <c r="C434" s="4" t="inlineStr">
        <is>
          <t>Vendido</t>
        </is>
      </c>
      <c r="D434" s="4" t="inlineStr">
        <is>
          <t>1</t>
        </is>
      </c>
      <c r="E434" s="5" t="inlineStr">
        <is>
          <t>3.000,00</t>
        </is>
      </c>
      <c r="F434" s="4" t="inlineStr">
        <is>
          <t>250.00</t>
        </is>
      </c>
    </row>
    <row collapsed="false" customFormat="false" customHeight="false" hidden="false" ht="12.1" outlineLevel="0" r="435">
      <c r="A435" s="5" t="s">
        <f>=HYPERLINK("https://leilaoonline.net/lote/detalhe/177724", "30097")</f>
      </c>
      <c r="B435" s="4" t="s">
        <f>=HYPERLINK("https://leilaoonline.net/lote/detalhe/177724", " CULTIVADOR 2 LINHAS, ANO 1999, FR139755, LOC. BOM RETIRO ")</f>
      </c>
      <c r="C435" s="4" t="inlineStr">
        <is>
          <t>Vendido</t>
        </is>
      </c>
      <c r="D435" s="4" t="inlineStr">
        <is>
          <t>1</t>
        </is>
      </c>
      <c r="E435" s="5" t="inlineStr">
        <is>
          <t>3.000,00</t>
        </is>
      </c>
      <c r="F435" s="4" t="inlineStr">
        <is>
          <t>250.00</t>
        </is>
      </c>
    </row>
    <row collapsed="false" customFormat="false" customHeight="false" hidden="false" ht="12.1" outlineLevel="0" r="436">
      <c r="A436" s="5" t="s">
        <f>=HYPERLINK("https://leilaoonline.net/lote/detalhe/177721", "30098")</f>
      </c>
      <c r="B436" s="4" t="s">
        <f>=HYPERLINK("https://leilaoonline.net/lote/detalhe/177721", " CULTIVADOR 2 LINHAS, ANO 2005, FR37464, LOC. BOM RETIRO 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3.000,00</t>
        </is>
      </c>
      <c r="F436" s="4" t="inlineStr">
        <is>
          <t>250.00</t>
        </is>
      </c>
    </row>
    <row collapsed="false" customFormat="false" customHeight="false" hidden="false" ht="12.1" outlineLevel="0" r="437">
      <c r="A437" s="5" t="s">
        <f>=HYPERLINK("https://leilaoonline.net/lote/detalhe/177728", "30099")</f>
      </c>
      <c r="B437" s="4" t="s">
        <f>=HYPERLINK("https://leilaoonline.net/lote/detalhe/177728", "CULTIVADOR 2L Carderroli, ANO 2015, FR67182, LOC. BOM RETIRO ")</f>
      </c>
      <c r="C437" s="4" t="inlineStr">
        <is>
          <t>Não vendido</t>
        </is>
      </c>
      <c r="D437" s="4" t="inlineStr">
        <is>
          <t>0</t>
        </is>
      </c>
      <c r="E437" s="5" t="inlineStr">
        <is>
          <t>3.000,00</t>
        </is>
      </c>
      <c r="F437" s="4" t="inlineStr">
        <is>
          <t>250.00</t>
        </is>
      </c>
    </row>
    <row collapsed="false" customFormat="false" customHeight="false" hidden="false" ht="12.1" outlineLevel="0" r="438">
      <c r="A438" s="5" t="s">
        <f>=HYPERLINK("https://leilaoonline.net/lote/detalhe/177722", "30100")</f>
      </c>
      <c r="B438" s="4" t="s">
        <f>=HYPERLINK("https://leilaoonline.net/lote/detalhe/177722", "CULTIVADOR 2L Carderroli, ANO 2004, FR38071, LOC. BOM RETIRO ")</f>
      </c>
      <c r="C438" s="4" t="inlineStr">
        <is>
          <t>Não vendido</t>
        </is>
      </c>
      <c r="D438" s="4" t="inlineStr">
        <is>
          <t>0</t>
        </is>
      </c>
      <c r="E438" s="5" t="inlineStr">
        <is>
          <t>3.000,00</t>
        </is>
      </c>
      <c r="F438" s="4" t="inlineStr">
        <is>
          <t>250.00</t>
        </is>
      </c>
    </row>
    <row collapsed="false" customFormat="false" customHeight="false" hidden="false" ht="12.1" outlineLevel="0" r="439">
      <c r="A439" s="5" t="s">
        <f>=HYPERLINK("https://leilaoonline.net/lote/detalhe/177717", "30101")</f>
      </c>
      <c r="B439" s="4" t="s">
        <f>=HYPERLINK("https://leilaoonline.net/lote/detalhe/177717", " CULTIVADOR 2 LINHAS, ANO 2004, FR38070, LOC. BOM RETIRO ")</f>
      </c>
      <c r="C439" s="4" t="inlineStr">
        <is>
          <t>Não vendido</t>
        </is>
      </c>
      <c r="D439" s="4" t="inlineStr">
        <is>
          <t>1</t>
        </is>
      </c>
      <c r="E439" s="5" t="inlineStr">
        <is>
          <t>3.000,00</t>
        </is>
      </c>
      <c r="F439" s="4" t="inlineStr">
        <is>
          <t>250.00</t>
        </is>
      </c>
    </row>
    <row collapsed="false" customFormat="false" customHeight="false" hidden="false" ht="12.1" outlineLevel="0" r="440">
      <c r="A440" s="5" t="s">
        <f>=HYPERLINK("https://leilaoonline.net/lote/detalhe/177730", "30102")</f>
      </c>
      <c r="B440" s="4" t="s">
        <f>=HYPERLINK("https://leilaoonline.net/lote/detalhe/177730", " CULTIVADOR 2 LINHAS, ANO 2001, FR67071, LOC. BOM RETIRO ")</f>
      </c>
      <c r="C440" s="4" t="inlineStr">
        <is>
          <t>Não vendido</t>
        </is>
      </c>
      <c r="D440" s="4" t="inlineStr">
        <is>
          <t>0</t>
        </is>
      </c>
      <c r="E440" s="5" t="inlineStr">
        <is>
          <t>3.000,00</t>
        </is>
      </c>
      <c r="F440" s="4" t="inlineStr">
        <is>
          <t>250.00</t>
        </is>
      </c>
    </row>
    <row collapsed="false" customFormat="false" customHeight="false" hidden="false" ht="12.1" outlineLevel="0" r="441">
      <c r="A441" s="5" t="s">
        <f>=HYPERLINK("https://leilaoonline.net/lote/detalhe/176902", "30105")</f>
      </c>
      <c r="B441" s="4" t="s">
        <f>=HYPERLINK("https://leilaoonline.net/lote/detalhe/176902", " CARRETINHA SERVIÇOS GERAIS, ANO 2011, FR57301, LOC. BOM RETIRO ")</f>
      </c>
      <c r="C441" s="4" t="inlineStr">
        <is>
          <t>Não vendido</t>
        </is>
      </c>
      <c r="D441" s="4" t="inlineStr">
        <is>
          <t>0</t>
        </is>
      </c>
      <c r="E441" s="5" t="inlineStr">
        <is>
          <t>2.500,00</t>
        </is>
      </c>
      <c r="F441" s="4" t="inlineStr">
        <is>
          <t>250.00</t>
        </is>
      </c>
    </row>
    <row collapsed="false" customFormat="false" customHeight="false" hidden="false" ht="12.1" outlineLevel="0" r="442">
      <c r="A442" s="5" t="s">
        <f>=HYPERLINK("https://leilaoonline.net/lote/detalhe/176927", "30113")</f>
      </c>
      <c r="B442" s="4" t="s">
        <f>=HYPERLINK("https://leilaoonline.net/lote/detalhe/176927", " TANQUE METALICO ROXO, 248266, LOC. RAFARD")</f>
      </c>
      <c r="C442" s="4" t="inlineStr">
        <is>
          <t>Vendido</t>
        </is>
      </c>
      <c r="D442" s="4" t="inlineStr">
        <is>
          <t>2</t>
        </is>
      </c>
      <c r="E442" s="5" t="inlineStr">
        <is>
          <t>2.250,00</t>
        </is>
      </c>
      <c r="F442" s="4" t="inlineStr">
        <is>
          <t>250.00</t>
        </is>
      </c>
    </row>
    <row collapsed="false" customFormat="false" customHeight="false" hidden="false" ht="12.1" outlineLevel="0" r="443">
      <c r="A443" s="5" t="s">
        <f>=HYPERLINK("https://leilaoonline.net/lote/detalhe/176925", "30114")</f>
      </c>
      <c r="B443" s="4" t="s">
        <f>=HYPERLINK("https://leilaoonline.net/lote/detalhe/176925", " TANQUE METALICO HORIZONTAL, 248449, LOC. RAFARD")</f>
      </c>
      <c r="C443" s="4" t="inlineStr">
        <is>
          <t>Vendido</t>
        </is>
      </c>
      <c r="D443" s="4" t="inlineStr">
        <is>
          <t>3</t>
        </is>
      </c>
      <c r="E443" s="5" t="inlineStr">
        <is>
          <t>5.500,00</t>
        </is>
      </c>
      <c r="F4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2026-09-03T00:15:26.00Z</dcterms:created>
  <dc:creator>Tellks Tecnologia</dc:creator>
  <cp:revision>0</cp:revision>
</cp:coreProperties>
</file>