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140K - 865B - 23 CAMINHÕES - 32 TRATORES - 50 REBOQUES / S. REB - COLHEDORAS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=HYPERLINK("https://leilaoonline.net/lote/detalhe/132289", "673")</f>
      </c>
      <c r="B11" s="4" t="s">
        <f>=HYPERLINK("https://leilaoonline.net/lote/detalhe/132289", "PEÇAS DE CENTRIFUGA SEPARADORA DE FERMENTO, SF, VEJA DESCRITIVO DE ITENS , LOC. RIO BRILHANTE 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=HYPERLINK("https://leilaoonline.net/lote/detalhe/130647", "674")</f>
      </c>
      <c r="B12" s="4" t="s">
        <f>=HYPERLINK("https://leilaoonline.net/lote/detalhe/130647", " TRATOR VALTRA MOD.BH 180 ANO 2010, FR4430979, LOC. CAARAPÓ ")</f>
      </c>
      <c r="C12" s="4" t="inlineStr">
        <is>
          <t>Vendido</t>
        </is>
      </c>
      <c r="D12" s="4" t="inlineStr">
        <is>
          <t>74</t>
        </is>
      </c>
      <c r="E12" s="5" t="inlineStr">
        <is>
          <t>137.000,00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=HYPERLINK("https://leilaoonline.net/lote/detalhe/130629", "675")</f>
      </c>
      <c r="B13" s="4" t="s">
        <f>=HYPERLINK("https://leilaoonline.net/lote/detalhe/130629", " TRATOR VALTRA 4X4, BH 180, ANO 2009,FR4430929, LOC. CAARAPÓ ")</f>
      </c>
      <c r="C13" s="4" t="inlineStr">
        <is>
          <t>Vendido</t>
        </is>
      </c>
      <c r="D13" s="4" t="inlineStr">
        <is>
          <t>64</t>
        </is>
      </c>
      <c r="E13" s="5" t="inlineStr">
        <is>
          <t>109.000,00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=HYPERLINK("https://leilaoonline.net/lote/detalhe/130651", "676")</f>
      </c>
      <c r="B14" s="4" t="s">
        <f>=HYPERLINK("https://leilaoonline.net/lote/detalhe/130651", " CARREGADEIRA DE CANA VALTRA BM100 ANO 2007, FR4435005, LOC. CAARAPÓ ")</f>
      </c>
      <c r="C14" s="4" t="inlineStr">
        <is>
          <t>Não vendido</t>
        </is>
      </c>
      <c r="D14" s="4" t="inlineStr">
        <is>
          <t>106</t>
        </is>
      </c>
      <c r="E14" s="5" t="inlineStr">
        <is>
          <t>135.500,00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=HYPERLINK("https://leilaoonline.net/lote/detalhe/130620", "679")</f>
      </c>
      <c r="B15" s="4" t="s">
        <f>=HYPERLINK("https://leilaoonline.net/lote/detalhe/130620", " CAMINHÃO VOLVO VM260  6X4 COR BRANCO ANO 2011, FR4417010, LOC. CAARAPÓ 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118.000,00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=HYPERLINK("https://leilaoonline.net/lote/detalhe/130628", "682")</f>
      </c>
      <c r="B16" s="4" t="s">
        <f>=HYPERLINK("https://leilaoonline.net/lote/detalhe/130628", " TRATOR VALTRA BH180 ANO 2010, FR4435023, LOC. CAARAPÓ ")</f>
      </c>
      <c r="C16" s="4" t="inlineStr">
        <is>
          <t>Vendido</t>
        </is>
      </c>
      <c r="D16" s="4" t="inlineStr">
        <is>
          <t>66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=HYPERLINK("https://leilaoonline.net/lote/detalhe/130657", "684")</f>
      </c>
      <c r="B17" s="4" t="s">
        <f>=HYPERLINK("https://leilaoonline.net/lote/detalhe/130657", " TRANSBORDO GIGANTE BR 22000, MOD. TESTON, ANO 2017,  FR4445277, LOC. CAARAPÓ ")</f>
      </c>
      <c r="C17" s="4" t="inlineStr">
        <is>
          <t>Não vendido</t>
        </is>
      </c>
      <c r="D17" s="4" t="inlineStr">
        <is>
          <t>59</t>
        </is>
      </c>
      <c r="E17" s="5" t="inlineStr">
        <is>
          <t>58.000,00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=HYPERLINK("https://leilaoonline.net/lote/detalhe/130665", "685")</f>
      </c>
      <c r="B18" s="4" t="s">
        <f>=HYPERLINK("https://leilaoonline.net/lote/detalhe/130665", " TRANSBORDO , LOC. CAARAPÓ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=HYPERLINK("https://leilaoonline.net/lote/detalhe/130664", "686")</f>
      </c>
      <c r="B19" s="4" t="s">
        <f>=HYPERLINK("https://leilaoonline.net/lote/detalhe/130664", " TRANSBORDO CIVEMASA T 14000,ANO 2016, FR4445261, LOC. CAARAPÓ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=HYPERLINK("https://leilaoonline.net/lote/detalhe/131474", "687")</f>
      </c>
      <c r="B20" s="4" t="s">
        <f>=HYPERLINK("https://leilaoonline.net/lote/detalhe/131474", " COLHEDORA DE CANA ESTEIRA, ANO 2010, FR4431248, LOC. CAARAPO")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=HYPERLINK("https://leilaoonline.net/lote/detalhe/130632", "690")</f>
      </c>
      <c r="B21" s="4" t="s">
        <f>=HYPERLINK("https://leilaoonline.net/lote/detalhe/130632", " CAMINHÃO VOLVO FM12 380 6X4R, ANO 2001 , FR4410729, LOC. CAARAPÓ ")</f>
      </c>
      <c r="C21" s="4" t="inlineStr">
        <is>
          <t>Vendido</t>
        </is>
      </c>
      <c r="D21" s="4" t="inlineStr">
        <is>
          <t>63</t>
        </is>
      </c>
      <c r="E21" s="5" t="inlineStr">
        <is>
          <t>103.000,00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=HYPERLINK("https://leilaoonline.net/lote/detalhe/130623", "691")</f>
      </c>
      <c r="B22" s="4" t="s">
        <f>=HYPERLINK("https://leilaoonline.net/lote/detalhe/130623", " TRATOR VALMET MOD.885, ANO 1993, FR4430959, LOC. CAARAPÓ ")</f>
      </c>
      <c r="C22" s="4" t="inlineStr">
        <is>
          <t>Vendido</t>
        </is>
      </c>
      <c r="D22" s="4" t="inlineStr">
        <is>
          <t>29</t>
        </is>
      </c>
      <c r="E22" s="5" t="inlineStr">
        <is>
          <t>56.000,00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=HYPERLINK("https://leilaoonline.net/lote/detalhe/130630", "694")</f>
      </c>
      <c r="B23" s="4" t="s">
        <f>=HYPERLINK("https://leilaoonline.net/lote/detalhe/130630", " TRATOR VALTRA MOD. BH180, ANO 2012, FR4435053, LOC. CAARAPÓ ")</f>
      </c>
      <c r="C23" s="4" t="inlineStr">
        <is>
          <t>Vendido</t>
        </is>
      </c>
      <c r="D23" s="4" t="inlineStr">
        <is>
          <t>81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=HYPERLINK("https://leilaoonline.net/lote/detalhe/130666", "695")</f>
      </c>
      <c r="B24" s="4" t="s">
        <f>=HYPERLINK("https://leilaoonline.net/lote/detalhe/130666", " TRANSBORDO CIVEMASA, ANO 2010,  FR4445131, LOC. CAARAPÓ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=HYPERLINK("https://leilaoonline.net/lote/detalhe/130650", "703")</f>
      </c>
      <c r="B25" s="4" t="s">
        <f>=HYPERLINK("https://leilaoonline.net/lote/detalhe/130650", " CAMINHÃO MB AXOR 3344 S 6X4, ANO 2016/2017, FR4415048, LOC. CAARAPÓ 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174.000,00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=HYPERLINK("https://leilaoonline.net/lote/detalhe/130635", "704")</f>
      </c>
      <c r="B26" s="4" t="s">
        <f>=HYPERLINK("https://leilaoonline.net/lote/detalhe/130635", " TRATOR VALTRA ANO 2011, FR4437032, LOC. CAARAPÓ ")</f>
      </c>
      <c r="C26" s="4" t="inlineStr">
        <is>
          <t>Vendido</t>
        </is>
      </c>
      <c r="D26" s="4" t="inlineStr">
        <is>
          <t>73</t>
        </is>
      </c>
      <c r="E26" s="5" t="inlineStr">
        <is>
          <t>117.000,00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=HYPERLINK("https://leilaoonline.net/lote/detalhe/130646", "705")</f>
      </c>
      <c r="B27" s="4" t="s">
        <f>=HYPERLINK("https://leilaoonline.net/lote/detalhe/130646", " TRATOR VALTRA BH 210I ANO 2015,FR4435084, LOC. CAARAPÓ ")</f>
      </c>
      <c r="C27" s="4" t="inlineStr">
        <is>
          <t>Vendido</t>
        </is>
      </c>
      <c r="D27" s="4" t="inlineStr">
        <is>
          <t>121</t>
        </is>
      </c>
      <c r="E27" s="5" t="inlineStr">
        <is>
          <t>273.000,00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=HYPERLINK("https://leilaoonline.net/lote/detalhe/130644", "709")</f>
      </c>
      <c r="B28" s="4" t="s">
        <f>=HYPERLINK("https://leilaoonline.net/lote/detalhe/130644", " CARREGADEIRA DE CANA SANTAL ,ANO 2001, FR4441788, LOC. CAARAPÓ ")</f>
      </c>
      <c r="C28" s="4" t="inlineStr">
        <is>
          <t>Vendido</t>
        </is>
      </c>
      <c r="D28" s="4" t="inlineStr">
        <is>
          <t>71</t>
        </is>
      </c>
      <c r="E28" s="5" t="inlineStr">
        <is>
          <t>63.000,00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=HYPERLINK("https://leilaoonline.net/lote/detalhe/130637", "710")</f>
      </c>
      <c r="B29" s="4" t="s">
        <f>=HYPERLINK("https://leilaoonline.net/lote/detalhe/130637", " CAMINHÃO MB AXOR 3344S 6X4, ANO 2014, FR119958, LOC. CAARAPÓ ")</f>
      </c>
      <c r="C29" s="4" t="inlineStr">
        <is>
          <t>Vendido</t>
        </is>
      </c>
      <c r="D29" s="4" t="inlineStr">
        <is>
          <t>80</t>
        </is>
      </c>
      <c r="E29" s="5" t="inlineStr">
        <is>
          <t>172.000,00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=HYPERLINK("https://leilaoonline.net/lote/detalhe/130679", "711")</f>
      </c>
      <c r="B30" s="4" t="s">
        <f>=HYPERLINK("https://leilaoonline.net/lote/detalhe/130679", " MOTONIVELADORA CAT 140K , ANO 2011, FR4435046, LOC. CAARAPÓ ")</f>
      </c>
      <c r="C30" s="4" t="inlineStr">
        <is>
          <t>Vendido</t>
        </is>
      </c>
      <c r="D30" s="4" t="inlineStr">
        <is>
          <t>75</t>
        </is>
      </c>
      <c r="E30" s="5" t="inlineStr">
        <is>
          <t>467.500,00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=HYPERLINK("https://leilaoonline.net/lote/detalhe/130674", "712")</f>
      </c>
      <c r="B31" s="4" t="s">
        <f>=HYPERLINK("https://leilaoonline.net/lote/detalhe/130674", " MOTONIVELADORA, MODELO 865B, ANO 2016, FR4435120, LOC. CAARAPÓ ")</f>
      </c>
      <c r="C31" s="4" t="inlineStr">
        <is>
          <t>Vendido</t>
        </is>
      </c>
      <c r="D31" s="4" t="inlineStr">
        <is>
          <t>84</t>
        </is>
      </c>
      <c r="E31" s="5" t="inlineStr">
        <is>
          <t>424.500,00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=HYPERLINK("https://leilaoonline.net/lote/detalhe/130634", "713")</f>
      </c>
      <c r="B32" s="4" t="s">
        <f>=HYPERLINK("https://leilaoonline.net/lote/detalhe/130634", " TRATOR VALTRA MOD.BH 180 ANO 2010, FR4435028, LOC. CAARAPÓ ")</f>
      </c>
      <c r="C32" s="4" t="inlineStr">
        <is>
          <t>Vendido</t>
        </is>
      </c>
      <c r="D32" s="4" t="inlineStr">
        <is>
          <t>101</t>
        </is>
      </c>
      <c r="E32" s="5" t="inlineStr">
        <is>
          <t>145.000,00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=HYPERLINK("https://leilaoonline.net/lote/detalhe/130621", "714")</f>
      </c>
      <c r="B33" s="4" t="s">
        <f>=HYPERLINK("https://leilaoonline.net/lote/detalhe/130621", " TRATOR VALTRA MOD.BH 180 ANO 2010, FR4435029, LOC. CAARAPÓ ")</f>
      </c>
      <c r="C33" s="4" t="inlineStr">
        <is>
          <t>Vendido</t>
        </is>
      </c>
      <c r="D33" s="4" t="inlineStr">
        <is>
          <t>75</t>
        </is>
      </c>
      <c r="E33" s="5" t="inlineStr">
        <is>
          <t>120.000,00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=HYPERLINK("https://leilaoonline.net/lote/detalhe/130624", "715")</f>
      </c>
      <c r="B34" s="4" t="s">
        <f>=HYPERLINK("https://leilaoonline.net/lote/detalhe/130624", " TRATOR VALTRA BH180 ANO 2012, FR4435061, LOC. CAARAPÓ ")</f>
      </c>
      <c r="C34" s="4" t="inlineStr">
        <is>
          <t>Não vendido</t>
        </is>
      </c>
      <c r="D34" s="4" t="inlineStr">
        <is>
          <t>138</t>
        </is>
      </c>
      <c r="E34" s="5" t="inlineStr">
        <is>
          <t>193.000,00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=HYPERLINK("https://leilaoonline.net/lote/detalhe/130661", "716")</f>
      </c>
      <c r="B35" s="4" t="s">
        <f>=HYPERLINK("https://leilaoonline.net/lote/detalhe/130661", " TRANSBORDO TESTON PT22000 22 T,  ANO 2017,  FR4445279, LOC. CAARAPÓ ")</f>
      </c>
      <c r="C35" s="4" t="inlineStr">
        <is>
          <t>Não vendido</t>
        </is>
      </c>
      <c r="D35" s="4" t="inlineStr">
        <is>
          <t>57</t>
        </is>
      </c>
      <c r="E35" s="5" t="inlineStr">
        <is>
          <t>69.000,00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=HYPERLINK("https://leilaoonline.net/lote/detalhe/130639", "720")</f>
      </c>
      <c r="B36" s="4" t="s">
        <f>=HYPERLINK("https://leilaoonline.net/lote/detalhe/130639", " PALIO FIRE WAY, MARCA FIAT, ANO 2017 , FR4425089, LOC. CAARAPÓ ")</f>
      </c>
      <c r="C36" s="4" t="inlineStr">
        <is>
          <t>Vendido</t>
        </is>
      </c>
      <c r="D36" s="4" t="inlineStr">
        <is>
          <t>1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=HYPERLINK("https://leilaoonline.net/lote/detalhe/130627", "721")</f>
      </c>
      <c r="B37" s="4" t="s">
        <f>=HYPERLINK("https://leilaoonline.net/lote/detalhe/130627", " TRATOR VALMET VALTRA, BH 180, ANO 2010, FR4430938, LOC. CAARAPÓ ")</f>
      </c>
      <c r="C37" s="4" t="inlineStr">
        <is>
          <t>Vendido</t>
        </is>
      </c>
      <c r="D37" s="4" t="inlineStr">
        <is>
          <t>100</t>
        </is>
      </c>
      <c r="E37" s="5" t="inlineStr">
        <is>
          <t>154.000,00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=HYPERLINK("https://leilaoonline.net/lote/detalhe/130625", "722")</f>
      </c>
      <c r="B38" s="4" t="s">
        <f>=HYPERLINK("https://leilaoonline.net/lote/detalhe/130625", " TRATOR CASE MOD. MAGNUM 235 ANO 2013, FR4435065, LOC. CAARAPÓ ")</f>
      </c>
      <c r="C38" s="4" t="inlineStr">
        <is>
          <t>Vendido</t>
        </is>
      </c>
      <c r="D38" s="4" t="inlineStr">
        <is>
          <t>78</t>
        </is>
      </c>
      <c r="E38" s="5" t="inlineStr">
        <is>
          <t>122.000,00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=HYPERLINK("https://leilaoonline.net/lote/detalhe/130626", "725")</f>
      </c>
      <c r="B39" s="4" t="s">
        <f>=HYPERLINK("https://leilaoonline.net/lote/detalhe/130626", " CAMINHÃO VW 26.220 EURO3 WORKER, ANO 2007, FR4415001, LOC. CAARAPÓ ")</f>
      </c>
      <c r="C39" s="4" t="inlineStr">
        <is>
          <t>Vendido</t>
        </is>
      </c>
      <c r="D39" s="4" t="inlineStr">
        <is>
          <t>42</t>
        </is>
      </c>
      <c r="E39" s="5" t="inlineStr">
        <is>
          <t>92.000,00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=HYPERLINK("https://leilaoonline.net/lote/detalhe/130636", "729")</f>
      </c>
      <c r="B40" s="4" t="s">
        <f>=HYPERLINK("https://leilaoonline.net/lote/detalhe/130636", " TRATOR 100CV MODELO BM100 4X4 ANO 2005, FR4431027, LOC. CAARAPÓ ")</f>
      </c>
      <c r="C40" s="4" t="inlineStr">
        <is>
          <t>Vendido</t>
        </is>
      </c>
      <c r="D40" s="4" t="inlineStr">
        <is>
          <t>38</t>
        </is>
      </c>
      <c r="E40" s="5" t="inlineStr">
        <is>
          <t>75.000,00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=HYPERLINK("https://leilaoonline.net/lote/detalhe/130640", "730")</f>
      </c>
      <c r="B41" s="4" t="s">
        <f>=HYPERLINK("https://leilaoonline.net/lote/detalhe/130640", " CAMINHÃO MB AXOR 3344 S 6X4,  ANO 2016/2017, FR4415049, LOC. CAARAPÓ ")</f>
      </c>
      <c r="C41" s="4" t="inlineStr">
        <is>
          <t>Não vendido</t>
        </is>
      </c>
      <c r="D41" s="4" t="inlineStr">
        <is>
          <t>69</t>
        </is>
      </c>
      <c r="E41" s="5" t="inlineStr">
        <is>
          <t>200.000,00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=HYPERLINK("https://leilaoonline.net/lote/detalhe/130660", "731")</f>
      </c>
      <c r="B42" s="4" t="s">
        <f>=HYPERLINK("https://leilaoonline.net/lote/detalhe/130660", " TRANSBORDO TRIDEM BIPARTIDO, SANTA IZABE, ANO 2010,  FR4441913, LOC. CAARAPÓ ")</f>
      </c>
      <c r="C42" s="4" t="inlineStr">
        <is>
          <t>Vendido</t>
        </is>
      </c>
      <c r="D42" s="4" t="inlineStr">
        <is>
          <t>32</t>
        </is>
      </c>
      <c r="E42" s="5" t="inlineStr">
        <is>
          <t>34.500,00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=HYPERLINK("https://leilaoonline.net/lote/detalhe/130658", "732")</f>
      </c>
      <c r="B43" s="4" t="s">
        <f>=HYPERLINK("https://leilaoonline.net/lote/detalhe/130658", " TRANSBORDO TRIDEM BIPARTIDO, MARCA SANTA,  ANO 2010, FR4445112, LOC. CAARAPÓ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=HYPERLINK("https://leilaoonline.net/lote/detalhe/130648", "733")</f>
      </c>
      <c r="B44" s="4" t="s">
        <f>=HYPERLINK("https://leilaoonline.net/lote/detalhe/130648", " CAMINHÃO VOLVO FM 500 6X4T, ANO 2013 , FR4415030, LOC. CAARAPÓ ")</f>
      </c>
      <c r="C44" s="4" t="inlineStr">
        <is>
          <t>Não vendido</t>
        </is>
      </c>
      <c r="D44" s="4" t="inlineStr">
        <is>
          <t>113</t>
        </is>
      </c>
      <c r="E44" s="5" t="inlineStr">
        <is>
          <t>152.000,00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=HYPERLINK("https://leilaoonline.net/lote/detalhe/130662", "737")</f>
      </c>
      <c r="B45" s="4" t="s">
        <f>=HYPERLINK("https://leilaoonline.net/lote/detalhe/130662", " TRANSBORDO CIVEMASA, ANO 2011, FR4445151, LOC. CAARAPÓ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=HYPERLINK("https://leilaoonline.net/lote/detalhe/130663", "738")</f>
      </c>
      <c r="B46" s="4" t="s">
        <f>=HYPERLINK("https://leilaoonline.net/lote/detalhe/130663", " TRANSBORDO CIVEMASA, ANO 2011, FR4445145, LOC. CAARAPÓ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=HYPERLINK("https://leilaoonline.net/lote/detalhe/130631", "741")</f>
      </c>
      <c r="B47" s="4" t="s">
        <f>=HYPERLINK("https://leilaoonline.net/lote/detalhe/130631", " TRATOR VALTRA MOD.BH 180, ANO 2011 , FR4437002, LOC. CAARAPÓ ")</f>
      </c>
      <c r="C47" s="4" t="inlineStr">
        <is>
          <t>Vendido</t>
        </is>
      </c>
      <c r="D47" s="4" t="inlineStr">
        <is>
          <t>86</t>
        </is>
      </c>
      <c r="E47" s="5" t="inlineStr">
        <is>
          <t>130.000,00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=HYPERLINK("https://leilaoonline.net/lote/detalhe/130667", "756")</f>
      </c>
      <c r="B48" s="4" t="s">
        <f>=HYPERLINK("https://leilaoonline.net/lote/detalhe/130667", " EMPILHADEIRA MODELO H50FT - HYSTER, ANO 2011, FR4435041, LOC. CAARAPÓ ")</f>
      </c>
      <c r="C48" s="4" t="inlineStr">
        <is>
          <t>Não vendido</t>
        </is>
      </c>
      <c r="D48" s="4" t="inlineStr">
        <is>
          <t>83</t>
        </is>
      </c>
      <c r="E48" s="5" t="inlineStr">
        <is>
          <t>64.000,00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=HYPERLINK("https://leilaoonline.net/lote/detalhe/130633", "760")</f>
      </c>
      <c r="B49" s="4" t="s">
        <f>=HYPERLINK("https://leilaoonline.net/lote/detalhe/130633", " CAMINHÃO VOLVO FM 440 6X4T, ANO 2011, FR4415029, LOC. CAARAPÓ ")</f>
      </c>
      <c r="C49" s="4" t="inlineStr">
        <is>
          <t>Vendido</t>
        </is>
      </c>
      <c r="D49" s="4" t="inlineStr">
        <is>
          <t>75</t>
        </is>
      </c>
      <c r="E49" s="5" t="inlineStr">
        <is>
          <t>114.000,00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=HYPERLINK("https://leilaoonline.net/lote/detalhe/130677", "813")</f>
      </c>
      <c r="B50" s="4" t="s">
        <f>=HYPERLINK("https://leilaoonline.net/lote/detalhe/130677", " SULCADOR ADUBADOR DE 2 E 3 LINHAS, MARCA, FR4445028, LOC. CAARAPÓ ")</f>
      </c>
      <c r="C50" s="4" t="inlineStr">
        <is>
          <t>Vendido</t>
        </is>
      </c>
      <c r="D50" s="4" t="inlineStr">
        <is>
          <t>3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=HYPERLINK("https://leilaoonline.net/lote/detalhe/130669", "814")</f>
      </c>
      <c r="B51" s="4" t="s">
        <f>=HYPERLINK("https://leilaoonline.net/lote/detalhe/130669", " SULCADOR ADUBADOR DE 2 E 3 LINHAS, MARCA, FR4445030, LOC. CAARAPÓ ")</f>
      </c>
      <c r="C51" s="4" t="inlineStr">
        <is>
          <t>Vendido</t>
        </is>
      </c>
      <c r="D51" s="4" t="inlineStr">
        <is>
          <t>3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=HYPERLINK("https://leilaoonline.net/lote/detalhe/130670", "816")</f>
      </c>
      <c r="B52" s="4" t="s">
        <f>=HYPERLINK("https://leilaoonline.net/lote/detalhe/130670", " 02 SULCADORES ADUBADORES DE 2 OU 3 LINHAS SOLLUS, FR44910545/FR4445003 , LOC. CAARAPÓ ")</f>
      </c>
      <c r="C52" s="4" t="inlineStr">
        <is>
          <t>Vendido</t>
        </is>
      </c>
      <c r="D52" s="4" t="inlineStr">
        <is>
          <t>6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=HYPERLINK("https://leilaoonline.net/lote/detalhe/130654", "823")</f>
      </c>
      <c r="B53" s="4" t="s">
        <f>=HYPERLINK("https://leilaoonline.net/lote/detalhe/130654", " FIAT STRADA HARD WORKING CD, 4 PASSAGEIR, ANO 2018, FR4425103, LOC. CAARAPÓ ")</f>
      </c>
      <c r="C53" s="4" t="inlineStr">
        <is>
          <t>Vendido</t>
        </is>
      </c>
      <c r="D53" s="4" t="inlineStr">
        <is>
          <t>40</t>
        </is>
      </c>
      <c r="E53" s="5" t="inlineStr">
        <is>
          <t>37.000,00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=HYPERLINK("https://leilaoonline.net/lote/detalhe/130643", "841")</f>
      </c>
      <c r="B54" s="4" t="s">
        <f>=HYPERLINK("https://leilaoonline.net/lote/detalhe/130643", " PALIO FIRE WAY, MARCA FIAT, ANO 2017,FR4425092, LOC. CAARAPÓ ")</f>
      </c>
      <c r="C54" s="4" t="inlineStr">
        <is>
          <t>Vendido</t>
        </is>
      </c>
      <c r="D54" s="4" t="inlineStr">
        <is>
          <t>6</t>
        </is>
      </c>
      <c r="E54" s="5" t="inlineStr">
        <is>
          <t>14.500,00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=HYPERLINK("https://leilaoonline.net/lote/detalhe/130659", "844")</f>
      </c>
      <c r="B55" s="4" t="s">
        <f>=HYPERLINK("https://leilaoonline.net/lote/detalhe/130659", " FIAT STRADA WORKING , ANO 2015 , FR4425060, LOC. CAARAPÓ ")</f>
      </c>
      <c r="C55" s="4" t="inlineStr">
        <is>
          <t>Vendido</t>
        </is>
      </c>
      <c r="D55" s="4" t="inlineStr">
        <is>
          <t>21</t>
        </is>
      </c>
      <c r="E55" s="5" t="inlineStr">
        <is>
          <t>26.000,00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=HYPERLINK("https://leilaoonline.net/lote/detalhe/130653", "845")</f>
      </c>
      <c r="B56" s="4" t="s">
        <f>=HYPERLINK("https://leilaoonline.net/lote/detalhe/130653", " PALIO FIRE WAY, MARCA FIAT, ANO 2017 , FR4425090, LOC. CAARAPÓ ")</f>
      </c>
      <c r="C56" s="4" t="inlineStr">
        <is>
          <t>Vendido</t>
        </is>
      </c>
      <c r="D56" s="4" t="inlineStr">
        <is>
          <t>3</t>
        </is>
      </c>
      <c r="E56" s="5" t="inlineStr">
        <is>
          <t>13.000,00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=HYPERLINK("https://leilaoonline.net/lote/detalhe/130642", "854")</f>
      </c>
      <c r="B57" s="4" t="s">
        <f>=HYPERLINK("https://leilaoonline.net/lote/detalhe/130642", " MOTOCICLETA HONDA NXR 150 BROS KS, ANO 2012, FR4425043, LOC. CAARAPÓ ")</f>
      </c>
      <c r="C57" s="4" t="inlineStr">
        <is>
          <t>Vendido</t>
        </is>
      </c>
      <c r="D57" s="4" t="inlineStr">
        <is>
          <t>6</t>
        </is>
      </c>
      <c r="E57" s="5" t="inlineStr">
        <is>
          <t>3.750,00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=HYPERLINK("https://leilaoonline.net/lote/detalhe/130638", "856")</f>
      </c>
      <c r="B58" s="4" t="s">
        <f>=HYPERLINK("https://leilaoonline.net/lote/detalhe/130638", " CAMINHÃO VOLVO FM 440 6X4T, ANO 2011 , FR4415019, LOC. CAARAPÓ ")</f>
      </c>
      <c r="C58" s="4" t="inlineStr">
        <is>
          <t>Vendido</t>
        </is>
      </c>
      <c r="D58" s="4" t="inlineStr">
        <is>
          <t>38</t>
        </is>
      </c>
      <c r="E58" s="5" t="inlineStr">
        <is>
          <t>92.500,00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=HYPERLINK("https://leilaoonline.net/lote/detalhe/130656", "861")</f>
      </c>
      <c r="B59" s="4" t="s">
        <f>=HYPERLINK("https://leilaoonline.net/lote/detalhe/130656", " UNO ATTACTIVE 1.0, FIAT, BRANCO, ANO 2018 , FR4425108, LOC. CAARAPÓ ")</f>
      </c>
      <c r="C59" s="4" t="inlineStr">
        <is>
          <t>Vendido</t>
        </is>
      </c>
      <c r="D59" s="4" t="inlineStr">
        <is>
          <t>31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=HYPERLINK("https://leilaoonline.net/lote/detalhe/130655", "862")</f>
      </c>
      <c r="B60" s="4" t="s">
        <f>=HYPERLINK("https://leilaoonline.net/lote/detalhe/130655", " NOVA SAVEIRO TL MBVD, MARCA VOLKSWAGEN, ANO 2016 , FR4425079, LOC. CAARAPÓ ")</f>
      </c>
      <c r="C60" s="4" t="inlineStr">
        <is>
          <t>Vendido</t>
        </is>
      </c>
      <c r="D60" s="4" t="inlineStr">
        <is>
          <t>40</t>
        </is>
      </c>
      <c r="E60" s="5" t="inlineStr">
        <is>
          <t>37.500,00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=HYPERLINK("https://leilaoonline.net/lote/detalhe/130649", "863")</f>
      </c>
      <c r="B61" s="4" t="s">
        <f>=HYPERLINK("https://leilaoonline.net/lote/detalhe/130649", " FIAT STRADA HARD WORKING CD, 4 PASSAGEIR, ANO 2018, FR4425101, LOC. CAARAPÓ ")</f>
      </c>
      <c r="C61" s="4" t="inlineStr">
        <is>
          <t>Vendido</t>
        </is>
      </c>
      <c r="D61" s="4" t="inlineStr">
        <is>
          <t>41</t>
        </is>
      </c>
      <c r="E61" s="5" t="inlineStr">
        <is>
          <t>41.000,00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=HYPERLINK("https://leilaoonline.net/lote/detalhe/130652", "865")</f>
      </c>
      <c r="B62" s="4" t="s">
        <f>=HYPERLINK("https://leilaoonline.net/lote/detalhe/130652", " PALIO FIRE WAY, ANO 2016, FR4425073, LOC. CAARAPÓ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=HYPERLINK("https://leilaoonline.net/lote/detalhe/131477", "878")</f>
      </c>
      <c r="B63" s="4" t="s">
        <f>=HYPERLINK("https://leilaoonline.net/lote/detalhe/131477", " COLHEDORA CASE 8800, ANO 2010, FR4461239, LOC.CAARAPÓ")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=HYPERLINK("https://leilaoonline.net/lote/detalhe/131480", "881")</f>
      </c>
      <c r="B64" s="4" t="s">
        <f>=HYPERLINK("https://leilaoonline.net/lote/detalhe/131480", " 21 EQUIPAMENTOS DE LABORATÓRIO, MINI FREEZER VERTICAL, AGITADOR MAGNETICO E OUTROS, VEJA DESCRITIVO DE ITENS , LOC.CAARAPÓ")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=HYPERLINK("https://leilaoonline.net/lote/detalhe/130676", "886")</f>
      </c>
      <c r="B65" s="4" t="s">
        <f>=HYPERLINK("https://leilaoonline.net/lote/detalhe/130676", " TRANSBORDO TAC 13000 ANO 2008, FR5004819, LOC. RIO BRILHANTE")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16.500,00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=HYPERLINK("https://leilaoonline.net/lote/detalhe/130668", "895")</f>
      </c>
      <c r="B66" s="4" t="s">
        <f>=HYPERLINK("https://leilaoonline.net/lote/detalhe/130668", " SUCATA DE GIRAFA, S/INF , LOC. CAARAPÓ ")</f>
      </c>
      <c r="C66" s="4" t="inlineStr">
        <is>
          <t>Vendido</t>
        </is>
      </c>
      <c r="D66" s="4" t="inlineStr">
        <is>
          <t>3</t>
        </is>
      </c>
      <c r="E66" s="5" t="inlineStr">
        <is>
          <t>1.300,00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=HYPERLINK("https://leilaoonline.net/lote/detalhe/131479", "900")</f>
      </c>
      <c r="B67" s="4" t="s">
        <f>=HYPERLINK("https://leilaoonline.net/lote/detalhe/131479", " TRANSB VT 10 ARRASTE TRAT, ANO 2012, FR5003030, LOC. PASSA TEMPO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=HYPERLINK("https://leilaoonline.net/lote/detalhe/131482", "904")</f>
      </c>
      <c r="B68" s="4" t="s">
        <f>=HYPERLINK("https://leilaoonline.net/lote/detalhe/131482", " TRATOR VALTRA BM 100, ANO 2006, FR5002325, LOC. PASSA TEMPO")</f>
      </c>
      <c r="C68" s="4" t="inlineStr">
        <is>
          <t>Vendido</t>
        </is>
      </c>
      <c r="D68" s="4" t="inlineStr">
        <is>
          <t>37</t>
        </is>
      </c>
      <c r="E68" s="5" t="inlineStr">
        <is>
          <t>76.000,00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=HYPERLINK("https://leilaoonline.net/lote/detalhe/131472", "906")</f>
      </c>
      <c r="B69" s="4" t="s">
        <f>=HYPERLINK("https://leilaoonline.net/lote/detalhe/131472", " TRANSBORDO TAC 13000 ANO 2007, FR5004750, LOC. PASSA TEMPO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=HYPERLINK("https://leilaoonline.net/lote/detalhe/131470", "911")</f>
      </c>
      <c r="B70" s="4" t="s">
        <f>=HYPERLINK("https://leilaoonline.net/lote/detalhe/131470", " 27 SUCATA DE MOTORES DIVERSAS, SF,  LOC. PASSA TEMPO")</f>
      </c>
      <c r="C70" s="4" t="inlineStr">
        <is>
          <t>Vendido</t>
        </is>
      </c>
      <c r="D70" s="4" t="inlineStr">
        <is>
          <t>193</t>
        </is>
      </c>
      <c r="E70" s="5" t="inlineStr">
        <is>
          <t>150.500,00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=HYPERLINK("https://leilaoonline.net/lote/detalhe/131469", "912")</f>
      </c>
      <c r="B71" s="4" t="s">
        <f>=HYPERLINK("https://leilaoonline.net/lote/detalhe/131469", " 6 CALDEIRAS INDUSTRIAIS, SF, LOC. PASSA TEMPO 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6.250,00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=HYPERLINK("https://leilaoonline.net/lote/detalhe/131471", "913")</f>
      </c>
      <c r="B72" s="4" t="s">
        <f>=HYPERLINK("https://leilaoonline.net/lote/detalhe/131471", " 6 EQUIPAMENTOS ELETRODOMÉSTICOS, SF, VEJA DESCRITIVO DE ITENS, LOC. PASSA TEMPO")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=HYPERLINK("https://leilaoonline.net/lote/detalhe/131476", "914")</f>
      </c>
      <c r="B73" s="4" t="s">
        <f>=HYPERLINK("https://leilaoonline.net/lote/detalhe/131476", " TRANSBORDO TAC 13000, ANO 2008, FR5004802, LOC. PASSA TEMPO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=HYPERLINK("https://leilaoonline.net/lote/detalhe/130684", "923")</f>
      </c>
      <c r="B74" s="4" t="s">
        <f>=HYPERLINK("https://leilaoonline.net/lote/detalhe/130684", " GRADE, FR9003084, LOC. PASSATEMPO ")</f>
      </c>
      <c r="C74" s="4" t="inlineStr">
        <is>
          <t>Vendido</t>
        </is>
      </c>
      <c r="D74" s="4" t="inlineStr">
        <is>
          <t>32</t>
        </is>
      </c>
      <c r="E74" s="5" t="inlineStr">
        <is>
          <t>11.750,00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=HYPERLINK("https://leilaoonline.net/lote/detalhe/131481", "932")</f>
      </c>
      <c r="B75" s="4" t="s">
        <f>=HYPERLINK("https://leilaoonline.net/lote/detalhe/131481", " TRANSBORDO TAC 13000, CIVEMASA, ANO 2008, FR9004069, LOC. PASSA TEMPO")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=HYPERLINK("https://leilaoonline.net/lote/detalhe/131473", "933")</f>
      </c>
      <c r="B76" s="4" t="s">
        <f>=HYPERLINK("https://leilaoonline.net/lote/detalhe/131473", " PLANTADEIRA CANA PICADA 180CV 20M³ 6T, ANO 2011, FR5003015, LOC.PASSA TEMPO")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=HYPERLINK("https://leilaoonline.net/lote/detalhe/130681", "935")</f>
      </c>
      <c r="B77" s="4" t="s">
        <f>=HYPERLINK("https://leilaoonline.net/lote/detalhe/130681", " GRADE ARADORA FIXA 20DX34POL C/CONTR, FR9003062, LOC. PASSATEMPO")</f>
      </c>
      <c r="C77" s="4" t="inlineStr">
        <is>
          <t>Vendido</t>
        </is>
      </c>
      <c r="D77" s="4" t="inlineStr">
        <is>
          <t>41</t>
        </is>
      </c>
      <c r="E77" s="5" t="inlineStr">
        <is>
          <t>17.750,00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=HYPERLINK("https://leilaoonline.net/lote/detalhe/130682", "936")</f>
      </c>
      <c r="B78" s="4" t="s">
        <f>=HYPERLINK("https://leilaoonline.net/lote/detalhe/130682", " 02 CULTIVADORES CANA 2LINH 1,40/1,50/1,60M 37 COM ADUBADEIRA CX RSF 2 LINHAS, FR1003078/ FR1003114,  LOC. PASSATEMPO ")</f>
      </c>
      <c r="C78" s="4" t="inlineStr">
        <is>
          <t>Vendido</t>
        </is>
      </c>
      <c r="D78" s="4" t="inlineStr">
        <is>
          <t>28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=HYPERLINK("https://leilaoonline.net/lote/detalhe/131475", "938")</f>
      </c>
      <c r="B79" s="4" t="s">
        <f>=HYPERLINK("https://leilaoonline.net/lote/detalhe/131475", " TRANSBORDO SANTAL VT 13, ANO 2009, FR9004607, LOC. PASSA TEMPO")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=HYPERLINK("https://leilaoonline.net/lote/detalhe/130671", "954")</f>
      </c>
      <c r="B80" s="4" t="s">
        <f>=HYPERLINK("https://leilaoonline.net/lote/detalhe/130671", " TRANSBORDO 24M³ 4700X3550MM 7350KG SANTAL2012, ANO 2012, FR1003137, LOC. RIO BRILHANTE")</f>
      </c>
      <c r="C80" s="4" t="inlineStr">
        <is>
          <t>Vendido</t>
        </is>
      </c>
      <c r="D80" s="4" t="inlineStr">
        <is>
          <t>3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=HYPERLINK("https://leilaoonline.net/lote/detalhe/130683", "957")</f>
      </c>
      <c r="B81" s="4" t="s">
        <f>=HYPERLINK("https://leilaoonline.net/lote/detalhe/130683", " TRANSBORDO SANTAL TAC ARR 10500KG,  ANO 2011, FRE8003072, LOC. RIO BRILHANTE")</f>
      </c>
      <c r="C81" s="4" t="inlineStr">
        <is>
          <t>Vendido</t>
        </is>
      </c>
      <c r="D81" s="4" t="inlineStr">
        <is>
          <t>5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=HYPERLINK("https://leilaoonline.net/lote/detalhe/130672", "960")</f>
      </c>
      <c r="B82" s="4" t="s">
        <f>=HYPERLINK("https://leilaoonline.net/lote/detalhe/130672", " TRANSBORDO ARR 10500KG 24M³ 4700X3550MM 7350KG, ANO 2010,  FR9003050, LOC. RIO BRILHANTE")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=HYPERLINK("https://leilaoonline.net/lote/detalhe/130675", "961")</f>
      </c>
      <c r="B83" s="4" t="s">
        <f>=HYPERLINK("https://leilaoonline.net/lote/detalhe/130675", " TRANSBORDO SANTAL TAC ARR 10500KG , ANO 2011, FR8003069, LOC. RIO BRILHANTE")</f>
      </c>
      <c r="C83" s="4" t="inlineStr">
        <is>
          <t>Vendido</t>
        </is>
      </c>
      <c r="D83" s="4" t="inlineStr">
        <is>
          <t>2</t>
        </is>
      </c>
      <c r="E83" s="5" t="inlineStr">
        <is>
          <t>15.000,00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=HYPERLINK("https://leilaoonline.net/lote/detalhe/130673", "963")</f>
      </c>
      <c r="B84" s="4" t="s">
        <f>=HYPERLINK("https://leilaoonline.net/lote/detalhe/130673", " TRANSBORDO 24M³ 4700X3550MM 7350KG SANTAL2012, ANO 2012, FR1003136, LOC. RIO BRILHANTE")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=HYPERLINK("https://leilaoonline.net/lote/detalhe/130680", "966")</f>
      </c>
      <c r="B85" s="4" t="s">
        <f>=HYPERLINK("https://leilaoonline.net/lote/detalhe/130680", " TRANSBORDO SANTAL TAC ARR 10500KG 2011, FR8003071, LOC. RIO BRILHANTE")</f>
      </c>
      <c r="C85" s="4" t="inlineStr">
        <is>
          <t>Vendido</t>
        </is>
      </c>
      <c r="D85" s="4" t="inlineStr">
        <is>
          <t>2</t>
        </is>
      </c>
      <c r="E85" s="5" t="inlineStr">
        <is>
          <t>15.000,00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=HYPERLINK("https://leilaoonline.net/lote/detalhe/130685", "970")</f>
      </c>
      <c r="B86" s="4" t="s">
        <f>=HYPERLINK("https://leilaoonline.net/lote/detalhe/130685", " COLHEDORA JOHN DEERE 3522 HP, ANO 2013, FR9002120, LOC. RIO BRILHANTE")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=HYPERLINK("https://leilaoonline.net/lote/detalhe/130678", "971")</f>
      </c>
      <c r="B87" s="4" t="s">
        <f>=HYPERLINK("https://leilaoonline.net/lote/detalhe/130678", " COLHEDORA EST JOHN DEERE ANO 2013 7LAM 2,39M, FR9002023, LOC. RIO BRILHANTE")</f>
      </c>
      <c r="C87" s="4" t="inlineStr">
        <is>
          <t>Vendido</t>
        </is>
      </c>
      <c r="D87" s="4" t="inlineStr">
        <is>
          <t>6</t>
        </is>
      </c>
      <c r="E87" s="5" t="inlineStr">
        <is>
          <t>30.000,00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=HYPERLINK("https://leilaoonline.net/lote/detalhe/130687", "972")</f>
      </c>
      <c r="B88" s="4" t="s">
        <f>=HYPERLINK("https://leilaoonline.net/lote/detalhe/130687", " COLHEDORA EST JOHN DEERE ANO 2013 7LAM 2,39M, FR9002020, LOC. RIO BRILHANTE")</f>
      </c>
      <c r="C88" s="4" t="inlineStr">
        <is>
          <t>Vendido</t>
        </is>
      </c>
      <c r="D88" s="4" t="inlineStr">
        <is>
          <t>7</t>
        </is>
      </c>
      <c r="E88" s="5" t="inlineStr">
        <is>
          <t>31.000,00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=HYPERLINK("https://leilaoonline.net/lote/detalhe/130686", "985")</f>
      </c>
      <c r="B89" s="4" t="s">
        <f>=HYPERLINK("https://leilaoonline.net/lote/detalhe/130686", " COLHEDORA JOHN DEERE 3522 HP ANO 2014, FR4002011, LOC. RIO BRILHANTE")</f>
      </c>
      <c r="C89" s="4" t="inlineStr">
        <is>
          <t>Vendido</t>
        </is>
      </c>
      <c r="D89" s="4" t="inlineStr">
        <is>
          <t>4</t>
        </is>
      </c>
      <c r="E89" s="5" t="inlineStr">
        <is>
          <t>28.000,00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=HYPERLINK("https://leilaoonline.net/lote/detalhe/130688", "986")</f>
      </c>
      <c r="B90" s="4" t="s">
        <f>=HYPERLINK("https://leilaoonline.net/lote/detalhe/130688", " COLHEDORA JOHN DEERE 3520, ANO 2010, FR5002579, LOC. RIO BRILHANTE")</f>
      </c>
      <c r="C90" s="4" t="inlineStr">
        <is>
          <t>Vendido</t>
        </is>
      </c>
      <c r="D90" s="4" t="inlineStr">
        <is>
          <t>3</t>
        </is>
      </c>
      <c r="E90" s="5" t="inlineStr">
        <is>
          <t>27.000,00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=HYPERLINK("https://leilaoonline.net/lote/detalhe/130689", "989")</f>
      </c>
      <c r="B91" s="4" t="s">
        <f>=HYPERLINK("https://leilaoonline.net/lote/detalhe/130689", " COLHEDORA JOHN DEERE 3522 HP ANO 2014, FR5002017, LOC. RIO BRILHANTE")</f>
      </c>
      <c r="C91" s="4" t="inlineStr">
        <is>
          <t>Vendido</t>
        </is>
      </c>
      <c r="D91" s="4" t="inlineStr">
        <is>
          <t>30</t>
        </is>
      </c>
      <c r="E91" s="5" t="inlineStr">
        <is>
          <t>54.000,00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=HYPERLINK("https://leilaoonline.net/lote/detalhe/131478", "991")</f>
      </c>
      <c r="B92" s="4" t="s">
        <f>=HYPERLINK("https://leilaoonline.net/lote/detalhe/131478", "TRATOR VALTRA, BH 180, ANO 2007, FR5002501, LOC. RIO BRILHANTE ")</f>
      </c>
      <c r="C92" s="4" t="inlineStr">
        <is>
          <t>Vendido</t>
        </is>
      </c>
      <c r="D92" s="4" t="inlineStr">
        <is>
          <t>70</t>
        </is>
      </c>
      <c r="E92" s="5" t="inlineStr">
        <is>
          <t>108.000,00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=HYPERLINK("https://leilaoonline.net/lote/detalhe/131015", "1000")</f>
      </c>
      <c r="B93" s="4" t="s">
        <f>=HYPERLINK("https://leilaoonline.net/lote/detalhe/131015", " S.REBOQUE  RANDON 12,50 M, ANO 2013, FR82726,  (SERA VENDIDO S/ PNEUS) LOC. IPAUSSU 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34.000,00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=HYPERLINK("https://leilaoonline.net/lote/detalhe/130971", "1001")</f>
      </c>
      <c r="B94" s="4" t="s">
        <f>=HYPERLINK("https://leilaoonline.net/lote/detalhe/130971", " S.REBOQUE  RANDON 12,50 M, ANO 2012, FR46929, (SERA VENDIDO S/ PNEUS) LOC. IPAUSSU 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36.000,00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=HYPERLINK("https://leilaoonline.net/lote/detalhe/131080", "1002")</f>
      </c>
      <c r="B95" s="4" t="s">
        <f>=HYPERLINK("https://leilaoonline.net/lote/detalhe/131080", " REBOQUE 4E RANDON 12,5M, ANO 2012, FR46958,  (SERA VENDIDO S/ PNEUS) LOC. IPAUSSU 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=HYPERLINK("https://leilaoonline.net/lote/detalhe/131079", "1003")</f>
      </c>
      <c r="B96" s="4" t="s">
        <f>=HYPERLINK("https://leilaoonline.net/lote/detalhe/131079", " S.REBOQUE  RANDON 12,50 M, ANO 2012, FR46963,  (SERA VENDIDO S/ PNEUS)LOC. IPAUSSU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=HYPERLINK("https://leilaoonline.net/lote/detalhe/130969", "1004")</f>
      </c>
      <c r="B97" s="4" t="s">
        <f>=HYPERLINK("https://leilaoonline.net/lote/detalhe/130969", " S.REBOQUE  RANDON 12,50 M, ANO 2012, FR46919,  (SERA VENDIDO S/ PNEUS) LOC. IPAUSSU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=HYPERLINK("https://leilaoonline.net/lote/detalhe/130967", "1005")</f>
      </c>
      <c r="B98" s="4" t="s">
        <f>=HYPERLINK("https://leilaoonline.net/lote/detalhe/130967", " REBOQUE 4E RANDON 12,5M, ANO 2010, FR46908,  (SERA VENDIDO S/ PNEUS) LOC. IPAUSSU ")</f>
      </c>
      <c r="C98" s="4" t="inlineStr">
        <is>
          <t>Vendido</t>
        </is>
      </c>
      <c r="D98" s="4" t="inlineStr">
        <is>
          <t>3</t>
        </is>
      </c>
      <c r="E98" s="5" t="inlineStr">
        <is>
          <t>42.000,00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=HYPERLINK("https://leilaoonline.net/lote/detalhe/130972", "1006")</f>
      </c>
      <c r="B99" s="4" t="s">
        <f>=HYPERLINK("https://leilaoonline.net/lote/detalhe/130972", " REBOQUE 4E RANDON 12,5M, ANO 2010, FR46911, (SERA VENDIDO S/ PNEUS) LOC. IPAUSSU ")</f>
      </c>
      <c r="C99" s="4" t="inlineStr">
        <is>
          <t>Vendido</t>
        </is>
      </c>
      <c r="D99" s="4" t="inlineStr">
        <is>
          <t>2</t>
        </is>
      </c>
      <c r="E99" s="5" t="inlineStr">
        <is>
          <t>42.000,00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=HYPERLINK("https://leilaoonline.net/lote/detalhe/131026", "1007")</f>
      </c>
      <c r="B100" s="4" t="s">
        <f>=HYPERLINK("https://leilaoonline.net/lote/detalhe/131026", " S.REBOQUE  RANDON 12,50 M, ANO 2012, FR70823,  (SERA VENDIDO S/ PNEUS) LOC. IPAUSSU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=HYPERLINK("https://leilaoonline.net/lote/detalhe/130977", "1011")</f>
      </c>
      <c r="B101" s="4" t="s">
        <f>=HYPERLINK("https://leilaoonline.net/lote/detalhe/130977", " REBOQUE 4E RANDON 12,5M, ANO 2010, FR46873, (SERA VENDIDO S/ PNEUS) LOC. IPAUSSU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=HYPERLINK("https://leilaoonline.net/lote/detalhe/131010", "1014")</f>
      </c>
      <c r="B102" s="4" t="s">
        <f>=HYPERLINK("https://leilaoonline.net/lote/detalhe/131010", " S.REBOQUE  RANDON 12,50 M,  ANO 2008, FR112509,  (SERA VENDIDO S/ PNEUS) LOC. IPAUSSU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34.000,00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=HYPERLINK("https://leilaoonline.net/lote/detalhe/131078", "1015")</f>
      </c>
      <c r="B103" s="4" t="s">
        <f>=HYPERLINK("https://leilaoonline.net/lote/detalhe/131078", " S.REBOQUE  RANDON 12,50 M, ANO 2013, FR46977, (SERA VENDIDO S/ PNEUS) LOC. IPAUSSU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=HYPERLINK("https://leilaoonline.net/lote/detalhe/131014", "1016")</f>
      </c>
      <c r="B104" s="4" t="s">
        <f>=HYPERLINK("https://leilaoonline.net/lote/detalhe/131014", " REBOQUE 4E RANDON 12,5M, ANO 2010, FR82681,  (SERA VENDIDO S/ PNEUS) LOC. IPAUSSU 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42.000,00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=HYPERLINK("https://leilaoonline.net/lote/detalhe/130973", "1017")</f>
      </c>
      <c r="B105" s="4" t="s">
        <f>=HYPERLINK("https://leilaoonline.net/lote/detalhe/130973", " REBOQUE 4E RANDON 12,5M, ANO 2012, FR10906,  (SERA VENDIDO S/ PNEUS) LOC. IPAUSSU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=HYPERLINK("https://leilaoonline.net/lote/detalhe/131011", "1018")</f>
      </c>
      <c r="B106" s="4" t="s">
        <f>=HYPERLINK("https://leilaoonline.net/lote/detalhe/131011", " REBOQUE 4E RANDON 12,5M, ANO 2012, FR70838,  (SERA VENDIDO S/ PNEUS)LOC. IPAUSSU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=HYPERLINK("https://leilaoonline.net/lote/detalhe/130978", "1022")</f>
      </c>
      <c r="B107" s="4" t="s">
        <f>=HYPERLINK("https://leilaoonline.net/lote/detalhe/130978", " REBOQUE 4E RANDON 12,5M, ANO 2010, FR46885,  (SERA VENDIDO S/ PNEUS) LOC. IPAUSSU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30.000,00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=HYPERLINK("https://leilaoonline.net/lote/detalhe/130965", "1026")</f>
      </c>
      <c r="B108" s="4" t="s">
        <f>=HYPERLINK("https://leilaoonline.net/lote/detalhe/130965", " REBOQUE 4E RANDON 12,5M, ANO 2012, FR46947,  (SERA VENDIDO S/ PNEUS) LOC. IPAUSSU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42.000,00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=HYPERLINK("https://leilaoonline.net/lote/detalhe/130975", "1027")</f>
      </c>
      <c r="B109" s="4" t="s">
        <f>=HYPERLINK("https://leilaoonline.net/lote/detalhe/130975", " REBOQUE 4E RANDON 12,5M, ANO 2010, FR46907,  (SERA VENDIDO S/ PNEUS) LOC. IPAUSSU 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40.000,00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=HYPERLINK("https://leilaoonline.net/lote/detalhe/131082", "1028")</f>
      </c>
      <c r="B110" s="4" t="s">
        <f>=HYPERLINK("https://leilaoonline.net/lote/detalhe/131082", " REBOQUE 4E RANDON 12,5M, ANO 2012, FR46962,  (SERA VENDIDO S/ PNEUS) LOC. IPAUSSU 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37.000,00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=HYPERLINK("https://leilaoonline.net/lote/detalhe/130944", "1030")</f>
      </c>
      <c r="B111" s="4" t="s">
        <f>=HYPERLINK("https://leilaoonline.net/lote/detalhe/130944", " ENFARDADORA PALHA ARRAST , ANO 2017, FR48606, LOC. IPAUSSU ")</f>
      </c>
      <c r="C111" s="4" t="inlineStr">
        <is>
          <t>Não vendido</t>
        </is>
      </c>
      <c r="D111" s="4" t="inlineStr">
        <is>
          <t>51</t>
        </is>
      </c>
      <c r="E111" s="5" t="inlineStr">
        <is>
          <t>54.000,00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=HYPERLINK("https://leilaoonline.net/lote/detalhe/130948", "1031")</f>
      </c>
      <c r="B112" s="4" t="s">
        <f>=HYPERLINK("https://leilaoonline.net/lote/detalhe/130948", " TRATOR VALTRA BH180 4X4, ANO 2006, FR4733, LOC. IPAUSSU")</f>
      </c>
      <c r="C112" s="4" t="inlineStr">
        <is>
          <t>Vendido</t>
        </is>
      </c>
      <c r="D112" s="4" t="inlineStr">
        <is>
          <t>77</t>
        </is>
      </c>
      <c r="E112" s="5" t="inlineStr">
        <is>
          <t>116.000,00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=HYPERLINK("https://leilaoonline.net/lote/detalhe/130954", "1032")</f>
      </c>
      <c r="B113" s="4" t="s">
        <f>=HYPERLINK("https://leilaoonline.net/lote/detalhe/130954", "TRATOR N. HOLLAND, M. TS6020, ANO 2010, FR49388, LOC. IPAUSSU ")</f>
      </c>
      <c r="C113" s="4" t="inlineStr">
        <is>
          <t>Vendido</t>
        </is>
      </c>
      <c r="D113" s="4" t="inlineStr">
        <is>
          <t>94</t>
        </is>
      </c>
      <c r="E113" s="5" t="inlineStr">
        <is>
          <t>131.000,00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=HYPERLINK("https://leilaoonline.net/lote/detalhe/131067", "1033")</f>
      </c>
      <c r="B114" s="4" t="s">
        <f>=HYPERLINK("https://leilaoonline.net/lote/detalhe/131067", " 06 MAQUINAS DE SOLDA, 02 MOTORES ELETRICOS, 02 PERIFERICOS PAINEL/REDUTOR , SF , LOC. IPAUSSU ")</f>
      </c>
      <c r="C114" s="4" t="inlineStr">
        <is>
          <t>Vendido</t>
        </is>
      </c>
      <c r="D114" s="4" t="inlineStr">
        <is>
          <t>20</t>
        </is>
      </c>
      <c r="E114" s="5" t="inlineStr">
        <is>
          <t>5.400,00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=HYPERLINK("https://leilaoonline.net/lote/detalhe/130942", "1034")</f>
      </c>
      <c r="B115" s="4" t="s">
        <f>=HYPERLINK("https://leilaoonline.net/lote/detalhe/130942", " TRANSBORDO ATA 12000 12T, ANO 2012, FR47071, LOC. IPAUSSU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=HYPERLINK("https://leilaoonline.net/lote/detalhe/131070", "1035")</f>
      </c>
      <c r="B116" s="4" t="s">
        <f>=HYPERLINK("https://leilaoonline.net/lote/detalhe/131070", " CARRETA COMPRESSOR MOTOMIL E CAIXA PLASTICA,ANO 2015/2015,  FR48405/49790,  ( VENDAS S/ PNEU ) LOC. IPAUSSU")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2.750,00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=HYPERLINK("https://leilaoonline.net/lote/detalhe/131069", "1036")</f>
      </c>
      <c r="B117" s="4" t="s">
        <f>=HYPERLINK("https://leilaoonline.net/lote/detalhe/131069", " 02 TANQUES ( SENDO 1 PRETO C/ SUPORTE, 01 VERDE C/ ESCADA , LOC. IPAUSSU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=HYPERLINK("https://leilaoonline.net/lote/detalhe/130945", "1037")</f>
      </c>
      <c r="B118" s="4" t="s">
        <f>=HYPERLINK("https://leilaoonline.net/lote/detalhe/130945", " DESENLEI. PALHA CARDEROLI, ANO 2018, FR48176, ( VENDA S/ PNEU)  LOC. IPAUSSU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=HYPERLINK("https://leilaoonline.net/lote/detalhe/131076", "1038")</f>
      </c>
      <c r="B119" s="4" t="s">
        <f>=HYPERLINK("https://leilaoonline.net/lote/detalhe/131076", " DOLLY, SERA VENDIDO S/ DOCUMENTO, FR97971, ANO  2007, LOC. IPAUSSU 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12.500,00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=HYPERLINK("https://leilaoonline.net/lote/detalhe/130980", "1039")</f>
      </c>
      <c r="B120" s="4" t="s">
        <f>=HYPERLINK("https://leilaoonline.net/lote/detalhe/130980", " COLHEDORA J. DEERE 3522 2L , ANO 2013, FR 49576/49566, LOC. IPAUSSU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=HYPERLINK("https://leilaoonline.net/lote/detalhe/131688", "1040")</f>
      </c>
      <c r="B121" s="4" t="s">
        <f>=HYPERLINK("https://leilaoonline.net/lote/detalhe/131688", "20 TONELADAS, TUBO DE EVAPORAÇÃO 1/2 P, APROX. 4 METROS DE COMPRIMENTO. (VENDA POR KILO) - LOC. PARAISO/SP")</f>
      </c>
      <c r="C121" s="4" t="inlineStr">
        <is>
          <t>Vendido</t>
        </is>
      </c>
      <c r="D121" s="4" t="inlineStr">
        <is>
          <t>35</t>
        </is>
      </c>
      <c r="E121" s="5" t="inlineStr">
        <is>
          <t>114.000,00</t>
        </is>
      </c>
      <c r="F121" s="4" t="inlineStr">
        <is>
          <t>0.10</t>
        </is>
      </c>
    </row>
    <row collapsed="false" customFormat="false" customHeight="false" hidden="false" ht="12.1" outlineLevel="0" r="122">
      <c r="A122" s="5" t="s">
        <f>=HYPERLINK("https://leilaoonline.net/lote/detalhe/130951", "1041")</f>
      </c>
      <c r="B122" s="4" t="s">
        <f>=HYPERLINK("https://leilaoonline.net/lote/detalhe/130951", "ENFARDADEIRA DE PALHA NEW HOLLAND TS 6020 16X4, ANO 2012, FR48607, LOC. IPAUSSU ")</f>
      </c>
      <c r="C122" s="4" t="inlineStr">
        <is>
          <t>Não vendido</t>
        </is>
      </c>
      <c r="D122" s="4" t="inlineStr">
        <is>
          <t>58</t>
        </is>
      </c>
      <c r="E122" s="5" t="inlineStr">
        <is>
          <t>61.000,00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=HYPERLINK("https://leilaoonline.net/lote/detalhe/131051", "1042")</f>
      </c>
      <c r="B123" s="4" t="s">
        <f>=HYPERLINK("https://leilaoonline.net/lote/detalhe/131051", " 01 MOTOR ELETRICO, 01 REDUTOR, 01 ACIONADOR DE COR AMARELO,  SF, LOC. PARAISO 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1.150,00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=HYPERLINK("https://leilaoonline.net/lote/detalhe/131057", "1043")</f>
      </c>
      <c r="B124" s="4" t="s">
        <f>=HYPERLINK("https://leilaoonline.net/lote/detalhe/131057", " 03 EIXO C/ ENGRENAGEM/ RODANDO DE 2 MTS APROX., 02 EIXOS DE 8MTS, 03 EIXOS DE 3 MTS, 01 EIXO DE 3,5 MTS, 01 CANO BRANCO DE 4 MTS , 04 MANCAIS, (QTS E TAMANHOS APROXMADOS ) , SF , LOC. PARAISO 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2.750,00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=HYPERLINK("https://leilaoonline.net/lote/detalhe/131075", "1044")</f>
      </c>
      <c r="B125" s="4" t="s">
        <f>=HYPERLINK("https://leilaoonline.net/lote/detalhe/131075", " CARRETA TRANS.TUBOS RAESA, ANO 2016, FR1935, LOC. PARAISO 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=HYPERLINK("https://leilaoonline.net/lote/detalhe/131062", "1045")</f>
      </c>
      <c r="B126" s="4" t="s">
        <f>=HYPERLINK("https://leilaoonline.net/lote/detalhe/131062", " SUCATA, TELA PLASTICA, 35 UNDS TUBO PRETO, 01 ROLO DE BORRACHA CALHA DE FIBRA, SF , LOC. PARAISO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=HYPERLINK("https://leilaoonline.net/lote/detalhe/131061", "1046")</f>
      </c>
      <c r="B127" s="4" t="s">
        <f>=HYPERLINK("https://leilaoonline.net/lote/detalhe/131061", " TRANSBORDO ATA, FR 47037,  ANO 2010  - LOC.PARAISO ")</f>
      </c>
      <c r="C127" s="4" t="inlineStr">
        <is>
          <t>Vendido</t>
        </is>
      </c>
      <c r="D127" s="4" t="inlineStr">
        <is>
          <t>14</t>
        </is>
      </c>
      <c r="E127" s="5" t="inlineStr">
        <is>
          <t>21.000,00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=HYPERLINK("https://leilaoonline.net/lote/detalhe/131059", "1047")</f>
      </c>
      <c r="B128" s="4" t="s">
        <f>=HYPERLINK("https://leilaoonline.net/lote/detalhe/131059", " 06 TANQUES FILTRO, SF,  LOC. PARAISO 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=HYPERLINK("https://leilaoonline.net/lote/detalhe/131054", "1048")</f>
      </c>
      <c r="B129" s="4" t="s">
        <f>=HYPERLINK("https://leilaoonline.net/lote/detalhe/131054", " ESTEIRA DE 8 MTS. PATR. MOT0783/RED0253, LOC. STA CANDIDA 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6.500,00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=HYPERLINK("https://leilaoonline.net/lote/detalhe/131063", "1049")</f>
      </c>
      <c r="B130" s="4" t="s">
        <f>=HYPERLINK("https://leilaoonline.net/lote/detalhe/131063", " 12 BOCAS DE LOBO, 04 TANQUES, 04 PNEUS, 01 PNEU C/ RODA, 01 ENGATE , S/ PATR. LOC. STA CANDIDA ")</f>
      </c>
      <c r="C130" s="4" t="inlineStr">
        <is>
          <t>Não vendido</t>
        </is>
      </c>
      <c r="D130" s="4" t="inlineStr">
        <is>
          <t>9</t>
        </is>
      </c>
      <c r="E130" s="5" t="inlineStr">
        <is>
          <t>4.000,00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=HYPERLINK("https://leilaoonline.net/lote/detalhe/131073", "1050")</f>
      </c>
      <c r="B131" s="4" t="s">
        <f>=HYPERLINK("https://leilaoonline.net/lote/detalhe/131073", " REBOQUE RODOVIARIA 7,60M, ANO 1983, FR96545 LOC. SANTA CANDIDA ")</f>
      </c>
      <c r="C131" s="4" t="inlineStr">
        <is>
          <t>Vendido</t>
        </is>
      </c>
      <c r="D131" s="4" t="inlineStr">
        <is>
          <t>4</t>
        </is>
      </c>
      <c r="E131" s="5" t="inlineStr">
        <is>
          <t>13.000,00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=HYPERLINK("https://leilaoonline.net/lote/detalhe/131060", "1051")</f>
      </c>
      <c r="B132" s="4" t="s">
        <f>=HYPERLINK("https://leilaoonline.net/lote/detalhe/131060", " TRANSBORDO SANTAL, FR17301, ANO 2015,  LOC. PARAISO 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=HYPERLINK("https://leilaoonline.net/lote/detalhe/131077", "1052")</f>
      </c>
      <c r="B133" s="4" t="s">
        <f>=HYPERLINK("https://leilaoonline.net/lote/detalhe/131077", " 44 EIXOS DE CARRETA PESO ESTIMADO DE 3 TON, SF, LOC. SANTA CANDIDA ")</f>
      </c>
      <c r="C133" s="4" t="inlineStr">
        <is>
          <t>Vendido</t>
        </is>
      </c>
      <c r="D133" s="4" t="inlineStr">
        <is>
          <t>36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=HYPERLINK("https://leilaoonline.net/lote/detalhe/131072", "1053")</f>
      </c>
      <c r="B134" s="4" t="s">
        <f>=HYPERLINK("https://leilaoonline.net/lote/detalhe/131072", " TRATOR VALTRA BT 190 4X4, FR100926, ANO 2014  - LOC. SANTA CANDIDA ")</f>
      </c>
      <c r="C134" s="4" t="inlineStr">
        <is>
          <t>Vendido</t>
        </is>
      </c>
      <c r="D134" s="4" t="inlineStr">
        <is>
          <t>146</t>
        </is>
      </c>
      <c r="E134" s="5" t="inlineStr">
        <is>
          <t>208.000,00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=HYPERLINK("https://leilaoonline.net/lote/detalhe/131053", "1054")</f>
      </c>
      <c r="B135" s="4" t="s">
        <f>=HYPERLINK("https://leilaoonline.net/lote/detalhe/131053", " SUCATA ELETRICA/ ELETRONICA, 04 PAINEIS ELETRICOS, 01 NOBREAK, 50 REFLETORES, 01 ROLO DE BORRACHA, 02 ROLOS DE CABO DE ALUMINIO, 02 CARCAÇAS DE BOMBA E REDUTOR, 01 MARTELETE, 02 BEBEDOUROS,  E 01 CURVA DE AÇO ( GRANDE ) LOC. SANTA CANDIDA ")</f>
      </c>
      <c r="C135" s="4" t="inlineStr">
        <is>
          <t>Vendido</t>
        </is>
      </c>
      <c r="D135" s="4" t="inlineStr">
        <is>
          <t>7</t>
        </is>
      </c>
      <c r="E135" s="5" t="inlineStr">
        <is>
          <t>3.500,00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=HYPERLINK("https://leilaoonline.net/lote/detalhe/130960", "1055")</f>
      </c>
      <c r="B136" s="4" t="s">
        <f>=HYPERLINK("https://leilaoonline.net/lote/detalhe/130960", " COLHEDORA JOHN DEERE MOD  3522 2L, ANO 2010, FR101476, LOC. DIAMANTE ")</f>
      </c>
      <c r="C136" s="4" t="inlineStr">
        <is>
          <t>Vendido</t>
        </is>
      </c>
      <c r="D136" s="4" t="inlineStr">
        <is>
          <t>27</t>
        </is>
      </c>
      <c r="E136" s="5" t="inlineStr">
        <is>
          <t>51.000,00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=HYPERLINK("https://leilaoonline.net/lote/detalhe/130987", "1057")</f>
      </c>
      <c r="B137" s="4" t="s">
        <f>=HYPERLINK("https://leilaoonline.net/lote/detalhe/130987", " ACUMULADOR PAT. 000078,  FR 7011597, LOC. BIOMASSA  ")</f>
      </c>
      <c r="C137" s="4" t="inlineStr">
        <is>
          <t>Vendido</t>
        </is>
      </c>
      <c r="D137" s="4" t="inlineStr">
        <is>
          <t>46</t>
        </is>
      </c>
      <c r="E137" s="5" t="inlineStr">
        <is>
          <t>25.000,00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=HYPERLINK("https://leilaoonline.net/lote/detalhe/130991", "1058")</f>
      </c>
      <c r="B138" s="4" t="s">
        <f>=HYPERLINK("https://leilaoonline.net/lote/detalhe/130991", " ACUMULADOR FR7011596, LOC. BIOMASSA ")</f>
      </c>
      <c r="C138" s="4" t="inlineStr">
        <is>
          <t>Vendido</t>
        </is>
      </c>
      <c r="D138" s="4" t="inlineStr">
        <is>
          <t>62</t>
        </is>
      </c>
      <c r="E138" s="5" t="inlineStr">
        <is>
          <t>51.500,00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=HYPERLINK("https://leilaoonline.net/lote/detalhe/130995", "1059")</f>
      </c>
      <c r="B139" s="4" t="s">
        <f>=HYPERLINK("https://leilaoonline.net/lote/detalhe/130995", " ENFARDADORA PALHA JD L330, FR2602, LOC. BIOMASSA ")</f>
      </c>
      <c r="C139" s="4" t="inlineStr">
        <is>
          <t>Vendido</t>
        </is>
      </c>
      <c r="D139" s="4" t="inlineStr">
        <is>
          <t>95</t>
        </is>
      </c>
      <c r="E139" s="5" t="inlineStr">
        <is>
          <t>85.250,00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=HYPERLINK("https://leilaoonline.net/lote/detalhe/131008", "1060")</f>
      </c>
      <c r="B140" s="4" t="s">
        <f>=HYPERLINK("https://leilaoonline.net/lote/detalhe/131008", " PICADOR WOODHOG3200, FR7011599, ANO 2014 - LOC. BIOMASSA ")</f>
      </c>
      <c r="C140" s="4" t="inlineStr">
        <is>
          <t>Vendido</t>
        </is>
      </c>
      <c r="D140" s="4" t="inlineStr">
        <is>
          <t>359</t>
        </is>
      </c>
      <c r="E140" s="5" t="inlineStr">
        <is>
          <t>827.000,00</t>
        </is>
      </c>
      <c r="F140" s="4" t="inlineStr">
        <is>
          <t>5000.00</t>
        </is>
      </c>
    </row>
    <row collapsed="false" customFormat="false" customHeight="false" hidden="false" ht="12.1" outlineLevel="0" r="141">
      <c r="A141" s="5" t="s">
        <f>=HYPERLINK("https://leilaoonline.net/lote/detalhe/130985", "1061")</f>
      </c>
      <c r="B141" s="4" t="s">
        <f>=HYPERLINK("https://leilaoonline.net/lote/detalhe/130985", " ENFARDADEIRA NEW HOLAND  FR839080, LOC. BIOMASSA ")</f>
      </c>
      <c r="C141" s="4" t="inlineStr">
        <is>
          <t>Vendido</t>
        </is>
      </c>
      <c r="D141" s="4" t="inlineStr">
        <is>
          <t>64</t>
        </is>
      </c>
      <c r="E141" s="5" t="inlineStr">
        <is>
          <t>53.500,00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=HYPERLINK("https://leilaoonline.net/lote/detalhe/131006", "1062")</f>
      </c>
      <c r="B142" s="4" t="s">
        <f>=HYPERLINK("https://leilaoonline.net/lote/detalhe/131006", " ENLEIRADOR PALHA KUHN SR314, LOC. BIOMASSA ")</f>
      </c>
      <c r="C142" s="4" t="inlineStr">
        <is>
          <t>Vendido</t>
        </is>
      </c>
      <c r="D142" s="4" t="inlineStr">
        <is>
          <t>32</t>
        </is>
      </c>
      <c r="E142" s="5" t="inlineStr">
        <is>
          <t>17.250,00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=HYPERLINK("https://leilaoonline.net/lote/detalhe/130990", "1063")</f>
      </c>
      <c r="B143" s="4" t="s">
        <f>=HYPERLINK("https://leilaoonline.net/lote/detalhe/130990", " ALEIRADOR 1LIN 17ROD RETO FR1011590, LOC. BIOMASSA ")</f>
      </c>
      <c r="C143" s="4" t="inlineStr">
        <is>
          <t>Não vendido</t>
        </is>
      </c>
      <c r="D143" s="4" t="inlineStr">
        <is>
          <t>14</t>
        </is>
      </c>
      <c r="E143" s="5" t="inlineStr">
        <is>
          <t>11.000,00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=HYPERLINK("https://leilaoonline.net/lote/detalhe/130992", "1064")</f>
      </c>
      <c r="B144" s="4" t="s">
        <f>=HYPERLINK("https://leilaoonline.net/lote/detalhe/130992", " ALEIRADOR 1LIN 17ROD RETO, FR 1101, LOC. BIOMASSA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=HYPERLINK("https://leilaoonline.net/lote/detalhe/131013", "1065")</f>
      </c>
      <c r="B145" s="4" t="s">
        <f>=HYPERLINK("https://leilaoonline.net/lote/detalhe/131013", " ENFARDADORA PALHA 2270 CHALLENGR, SF, LOC. BIOMASSA ")</f>
      </c>
      <c r="C145" s="4" t="inlineStr">
        <is>
          <t>Vendido</t>
        </is>
      </c>
      <c r="D145" s="4" t="inlineStr">
        <is>
          <t>69</t>
        </is>
      </c>
      <c r="E145" s="5" t="inlineStr">
        <is>
          <t>69.000,00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=HYPERLINK("https://leilaoonline.net/lote/detalhe/130986", "1066")</f>
      </c>
      <c r="B146" s="4" t="s">
        <f>=HYPERLINK("https://leilaoonline.net/lote/detalhe/130986", " ENFARDADEIRA , FR 2602, LOC. BIOMASSA ")</f>
      </c>
      <c r="C146" s="4" t="inlineStr">
        <is>
          <t>Vendido</t>
        </is>
      </c>
      <c r="D146" s="4" t="inlineStr">
        <is>
          <t>45</t>
        </is>
      </c>
      <c r="E146" s="5" t="inlineStr">
        <is>
          <t>41.250,00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=HYPERLINK("https://leilaoonline.net/lote/detalhe/130999", "1067")</f>
      </c>
      <c r="B147" s="4" t="s">
        <f>=HYPERLINK("https://leilaoonline.net/lote/detalhe/130999", " BRAÇO HIDRAULICO P/ TRATOR J.D., LOC. BIOMASSA ")</f>
      </c>
      <c r="C147" s="4" t="inlineStr">
        <is>
          <t>Não vendido</t>
        </is>
      </c>
      <c r="D147" s="4" t="inlineStr">
        <is>
          <t>52</t>
        </is>
      </c>
      <c r="E147" s="5" t="inlineStr">
        <is>
          <t>26.500,00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=HYPERLINK("https://leilaoonline.net/lote/detalhe/130988", "1068")</f>
      </c>
      <c r="B148" s="4" t="s">
        <f>=HYPERLINK("https://leilaoonline.net/lote/detalhe/130988", " ENFARDADORA PALHA JD L330, FR2601, LOC. BARRA ")</f>
      </c>
      <c r="C148" s="4" t="inlineStr">
        <is>
          <t>Vendido</t>
        </is>
      </c>
      <c r="D148" s="4" t="inlineStr">
        <is>
          <t>114</t>
        </is>
      </c>
      <c r="E148" s="5" t="inlineStr">
        <is>
          <t>105.000,00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=HYPERLINK("https://leilaoonline.net/lote/detalhe/131003", "1069")</f>
      </c>
      <c r="B149" s="4" t="s">
        <f>=HYPERLINK("https://leilaoonline.net/lote/detalhe/131003", " SEMI-REBOQUE SERGOMEL 2E, ANO 2014/2014,  PALHA 1CX 113M³, FR97811, LOC. BIOMASSA ")</f>
      </c>
      <c r="C149" s="4" t="inlineStr">
        <is>
          <t>Não vendido</t>
        </is>
      </c>
      <c r="D149" s="4" t="inlineStr">
        <is>
          <t>23</t>
        </is>
      </c>
      <c r="E149" s="5" t="inlineStr">
        <is>
          <t>38.000,00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=HYPERLINK("https://leilaoonline.net/lote/detalhe/130998", "1070")</f>
      </c>
      <c r="B150" s="4" t="s">
        <f>=HYPERLINK("https://leilaoonline.net/lote/detalhe/130998", " REBOQUE SERGOMEL 4E, ANO 2015, PALHA 1CX 105M³, FR97810, LOC. BIOMASSA ")</f>
      </c>
      <c r="C150" s="4" t="inlineStr">
        <is>
          <t>Não vendido</t>
        </is>
      </c>
      <c r="D150" s="4" t="inlineStr">
        <is>
          <t>63</t>
        </is>
      </c>
      <c r="E150" s="5" t="inlineStr">
        <is>
          <t>72.000,00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=HYPERLINK("https://leilaoonline.net/lote/detalhe/131000", "1071")</f>
      </c>
      <c r="B151" s="4" t="s">
        <f>=HYPERLINK("https://leilaoonline.net/lote/detalhe/131000", " PRANCHA SEMI-REBOQUE SERGOMEL, 2 EIXOS 26T 1100X22, ANO 2014/2014, FR97809, LOC. BIOMASSA ")</f>
      </c>
      <c r="C151" s="4" t="inlineStr">
        <is>
          <t>Não vendido</t>
        </is>
      </c>
      <c r="D151" s="4" t="inlineStr">
        <is>
          <t>31</t>
        </is>
      </c>
      <c r="E151" s="5" t="inlineStr">
        <is>
          <t>40.000,00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=HYPERLINK("https://leilaoonline.net/lote/detalhe/131002", "1072")</f>
      </c>
      <c r="B152" s="4" t="s">
        <f>=HYPERLINK("https://leilaoonline.net/lote/detalhe/131002", " REBOQUE SERGOMEL 4E,  PALHA 1CX 105M³, ANO 2014, FR97813, LOC. BIOMASSA ")</f>
      </c>
      <c r="C152" s="4" t="inlineStr">
        <is>
          <t>Não vendido</t>
        </is>
      </c>
      <c r="D152" s="4" t="inlineStr">
        <is>
          <t>70</t>
        </is>
      </c>
      <c r="E152" s="5" t="inlineStr">
        <is>
          <t>87.000,00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=HYPERLINK("https://leilaoonline.net/lote/detalhe/130983", "1073")</f>
      </c>
      <c r="B153" s="4" t="s">
        <f>=HYPERLINK("https://leilaoonline.net/lote/detalhe/130983", " TRATOR J. DEERE,  110CV 4C 6110J, FR7011580, ANO 2013 - LOC. BIOMASSA ")</f>
      </c>
      <c r="C153" s="4" t="inlineStr">
        <is>
          <t>Não vendido</t>
        </is>
      </c>
      <c r="D153" s="4" t="inlineStr">
        <is>
          <t>118</t>
        </is>
      </c>
      <c r="E153" s="5" t="inlineStr">
        <is>
          <t>217.000,00</t>
        </is>
      </c>
      <c r="F153" s="4" t="inlineStr">
        <is>
          <t>2000.00</t>
        </is>
      </c>
    </row>
    <row collapsed="false" customFormat="false" customHeight="false" hidden="false" ht="12.1" outlineLevel="0" r="154">
      <c r="A154" s="5" t="s">
        <f>=HYPERLINK("https://leilaoonline.net/lote/detalhe/130989", "1074")</f>
      </c>
      <c r="B154" s="4" t="s">
        <f>=HYPERLINK("https://leilaoonline.net/lote/detalhe/130989", " TRATOR J. DEERE,  PNEU 140 150CV AT JD6114SJ, FR711583, ANO 2013 -  LOC. BIOMASSA ")</f>
      </c>
      <c r="C154" s="4" t="inlineStr">
        <is>
          <t>Não vendido</t>
        </is>
      </c>
      <c r="D154" s="4" t="inlineStr">
        <is>
          <t>132</t>
        </is>
      </c>
      <c r="E154" s="5" t="inlineStr">
        <is>
          <t>262.000,00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=HYPERLINK("https://leilaoonline.net/lote/detalhe/131001", "1076")</f>
      </c>
      <c r="B155" s="4" t="s">
        <f>=HYPERLINK("https://leilaoonline.net/lote/detalhe/131001", " CONCHA DE TRATOR, COR VERDE , SF, LOC. BIOMASSA ")</f>
      </c>
      <c r="C155" s="4" t="inlineStr">
        <is>
          <t>Não vendido</t>
        </is>
      </c>
      <c r="D155" s="4" t="inlineStr">
        <is>
          <t>17</t>
        </is>
      </c>
      <c r="E155" s="5" t="inlineStr">
        <is>
          <t>7.500,00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=HYPERLINK("https://leilaoonline.net/lote/detalhe/131004", "1077")</f>
      </c>
      <c r="B156" s="4" t="s">
        <f>=HYPERLINK("https://leilaoonline.net/lote/detalhe/131004", " REBOQUE SERGOMEL 4E, ANO 2015, PALHA 1CX 105M³, FR97800, LOC. BIOMASSA ")</f>
      </c>
      <c r="C156" s="4" t="inlineStr">
        <is>
          <t>Vendido</t>
        </is>
      </c>
      <c r="D156" s="4" t="inlineStr">
        <is>
          <t>64</t>
        </is>
      </c>
      <c r="E156" s="5" t="inlineStr">
        <is>
          <t>95.000,00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=HYPERLINK("https://leilaoonline.net/lote/detalhe/130996", "1078")</f>
      </c>
      <c r="B157" s="4" t="s">
        <f>=HYPERLINK("https://leilaoonline.net/lote/detalhe/130996", " REBOQUE SERGOMEL 4E, ANO 2014, PALHA 1CX 105M³, FR97814, LOC. BIOMASSA")</f>
      </c>
      <c r="C157" s="4" t="inlineStr">
        <is>
          <t>Não vendido</t>
        </is>
      </c>
      <c r="D157" s="4" t="inlineStr">
        <is>
          <t>50</t>
        </is>
      </c>
      <c r="E157" s="5" t="inlineStr">
        <is>
          <t>78.000,00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=HYPERLINK("https://leilaoonline.net/lote/detalhe/130997", "1079")</f>
      </c>
      <c r="B158" s="4" t="s">
        <f>=HYPERLINK("https://leilaoonline.net/lote/detalhe/130997", " SEMI-REBOQUE SERGOMEL 2E,  PALHA 1CX 113M³, ANO 2013/2013, FR97812, LOC. BIOMASSA ")</f>
      </c>
      <c r="C158" s="4" t="inlineStr">
        <is>
          <t>Vendido</t>
        </is>
      </c>
      <c r="D158" s="4" t="inlineStr">
        <is>
          <t>33</t>
        </is>
      </c>
      <c r="E158" s="5" t="inlineStr">
        <is>
          <t>42.000,00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=HYPERLINK("https://leilaoonline.net/lote/detalhe/131005", "1080")</f>
      </c>
      <c r="B159" s="4" t="s">
        <f>=HYPERLINK("https://leilaoonline.net/lote/detalhe/131005", " PRANCHA SEMI-REBOQUE SERGOMEL,  2 EIXOS 26T 1100X22, ANO 2013/2013, FR97806, LOC. BIOMASSA ")</f>
      </c>
      <c r="C159" s="4" t="inlineStr">
        <is>
          <t>Não vendido</t>
        </is>
      </c>
      <c r="D159" s="4" t="inlineStr">
        <is>
          <t>33</t>
        </is>
      </c>
      <c r="E159" s="5" t="inlineStr">
        <is>
          <t>42.000,00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=HYPERLINK("https://leilaoonline.net/lote/detalhe/131007", "1081")</f>
      </c>
      <c r="B160" s="4" t="s">
        <f>=HYPERLINK("https://leilaoonline.net/lote/detalhe/131007", " SEMI-REBOQUE SERGOMEL 2E, ANO 2015/2015  PALHA 1CX 113M³, FR97815, LOC. BIOMASSA ")</f>
      </c>
      <c r="C160" s="4" t="inlineStr">
        <is>
          <t>Não vendido</t>
        </is>
      </c>
      <c r="D160" s="4" t="inlineStr">
        <is>
          <t>23</t>
        </is>
      </c>
      <c r="E160" s="5" t="inlineStr">
        <is>
          <t>48.000,00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=HYPERLINK("https://leilaoonline.net/lote/detalhe/130994", "1082")</f>
      </c>
      <c r="B161" s="4" t="s">
        <f>=HYPERLINK("https://leilaoonline.net/lote/detalhe/130994", " SEMI-REBOQUE SERGOMEL 2E, PALHA 1CX 113M³, ANO 2015/2015, FR97807, LOC. BIOMASSA ")</f>
      </c>
      <c r="C161" s="4" t="inlineStr">
        <is>
          <t>Não vendido</t>
        </is>
      </c>
      <c r="D161" s="4" t="inlineStr">
        <is>
          <t>30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=HYPERLINK("https://leilaoonline.net/lote/detalhe/131029", "1083")</f>
      </c>
      <c r="B162" s="4" t="s">
        <f>=HYPERLINK("https://leilaoonline.net/lote/detalhe/131029", " MOTOR DIESEL PERKINS 4248 4C REMAN 3000523, M3431Y, LOC. DIAMANTE ")</f>
      </c>
      <c r="C162" s="4" t="inlineStr">
        <is>
          <t>Vendido</t>
        </is>
      </c>
      <c r="D162" s="4" t="inlineStr">
        <is>
          <t>26</t>
        </is>
      </c>
      <c r="E162" s="5" t="inlineStr">
        <is>
          <t>10.500,00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=HYPERLINK("https://leilaoonline.net/lote/detalhe/131016", "1084")</f>
      </c>
      <c r="B163" s="4" t="s">
        <f>=HYPERLINK("https://leilaoonline.net/lote/detalhe/131016", " MOTOR DIESEL PERKINS 4248 4C REMAN 3000523, M09169, LOC. DIAMANTE ")</f>
      </c>
      <c r="C163" s="4" t="inlineStr">
        <is>
          <t>Vendido</t>
        </is>
      </c>
      <c r="D163" s="4" t="inlineStr">
        <is>
          <t>19</t>
        </is>
      </c>
      <c r="E163" s="5" t="inlineStr">
        <is>
          <t>8.750,00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=HYPERLINK("https://leilaoonline.net/lote/detalhe/131017", "1085")</f>
      </c>
      <c r="B164" s="4" t="s">
        <f>=HYPERLINK("https://leilaoonline.net/lote/detalhe/131017", " MOTOR DIESEL PERKINS 4248 4C REMAN 3000523, M5512V, LOC. DIAMANTE ")</f>
      </c>
      <c r="C164" s="4" t="inlineStr">
        <is>
          <t>Vendido</t>
        </is>
      </c>
      <c r="D164" s="4" t="inlineStr">
        <is>
          <t>21</t>
        </is>
      </c>
      <c r="E164" s="5" t="inlineStr">
        <is>
          <t>10.000,00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=HYPERLINK("https://leilaoonline.net/lote/detalhe/131018", "1086")</f>
      </c>
      <c r="B165" s="4" t="s">
        <f>=HYPERLINK("https://leilaoonline.net/lote/detalhe/131018", " MOTOR DIESEL PERKINS 4248 4C REMAN, 3000523, M00039, LOC. DIAMANTE ")</f>
      </c>
      <c r="C165" s="4" t="inlineStr">
        <is>
          <t>Vendido</t>
        </is>
      </c>
      <c r="D165" s="4" t="inlineStr">
        <is>
          <t>20</t>
        </is>
      </c>
      <c r="E165" s="5" t="inlineStr">
        <is>
          <t>10.750,00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=HYPERLINK("https://leilaoonline.net/lote/detalhe/131032", "1087")</f>
      </c>
      <c r="B166" s="4" t="s">
        <f>=HYPERLINK("https://leilaoonline.net/lote/detalhe/131032", " MOTOR DIESEL PERKINS 4248 4C REMAN 3000523, 77387, LOC. DIAMANTE ")</f>
      </c>
      <c r="C166" s="4" t="inlineStr">
        <is>
          <t>Vendido</t>
        </is>
      </c>
      <c r="D166" s="4" t="inlineStr">
        <is>
          <t>18</t>
        </is>
      </c>
      <c r="E166" s="5" t="inlineStr">
        <is>
          <t>11.750,00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=HYPERLINK("https://leilaoonline.net/lote/detalhe/131027", "1088")</f>
      </c>
      <c r="B167" s="4" t="s">
        <f>=HYPERLINK("https://leilaoonline.net/lote/detalhe/131027", " MOTOR DIESEL PERKINS 4248 4C REMAN 3000523, 41819, LOC. DIAMANTE ")</f>
      </c>
      <c r="C167" s="4" t="inlineStr">
        <is>
          <t>Vendido</t>
        </is>
      </c>
      <c r="D167" s="4" t="inlineStr">
        <is>
          <t>21</t>
        </is>
      </c>
      <c r="E167" s="5" t="inlineStr">
        <is>
          <t>11.250,00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=HYPERLINK("https://leilaoonline.net/lote/detalhe/131034", "1089")</f>
      </c>
      <c r="B168" s="4" t="s">
        <f>=HYPERLINK("https://leilaoonline.net/lote/detalhe/131034", " MOTOR DIESEL PERKINS 6357 6C REMAN 3000599, MS/N, LOC. DIAMANTE ")</f>
      </c>
      <c r="C168" s="4" t="inlineStr">
        <is>
          <t>Vendido</t>
        </is>
      </c>
      <c r="D168" s="4" t="inlineStr">
        <is>
          <t>6</t>
        </is>
      </c>
      <c r="E168" s="5" t="inlineStr">
        <is>
          <t>6.500,00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=HYPERLINK("https://leilaoonline.net/lote/detalhe/131041", "1090")</f>
      </c>
      <c r="B169" s="4" t="s">
        <f>=HYPERLINK("https://leilaoonline.net/lote/detalhe/131041", " CAIXA CAMBIO 1295095029 REMAN 3008739, LOC. DIAMANTE ")</f>
      </c>
      <c r="C169" s="4" t="inlineStr">
        <is>
          <t>Vendido</t>
        </is>
      </c>
      <c r="D169" s="4" t="inlineStr">
        <is>
          <t>23</t>
        </is>
      </c>
      <c r="E169" s="5" t="inlineStr">
        <is>
          <t>10.500,00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=HYPERLINK("https://leilaoonline.net/lote/detalhe/131028", "1091")</f>
      </c>
      <c r="B170" s="4" t="s">
        <f>=HYPERLINK("https://leilaoonline.net/lote/detalhe/131028", " CAIXA CAMBIO CPL ZF AK680 MB/VV REMAN 3000052, LOC. DIAMANTE ")</f>
      </c>
      <c r="C170" s="4" t="inlineStr">
        <is>
          <t>Vendido</t>
        </is>
      </c>
      <c r="D170" s="4" t="inlineStr">
        <is>
          <t>14</t>
        </is>
      </c>
      <c r="E170" s="5" t="inlineStr">
        <is>
          <t>8.250,00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=HYPERLINK("https://leilaoonline.net/lote/detalhe/131038", "1092")</f>
      </c>
      <c r="B171" s="4" t="s">
        <f>=HYPERLINK("https://leilaoonline.net/lote/detalhe/131038", " CAIXA CAMBIO CPL SC GR871 REMAN 300700, LOC. DIAMANTE ")</f>
      </c>
      <c r="C171" s="4" t="inlineStr">
        <is>
          <t>Vendido</t>
        </is>
      </c>
      <c r="D171" s="4" t="inlineStr">
        <is>
          <t>12</t>
        </is>
      </c>
      <c r="E171" s="5" t="inlineStr">
        <is>
          <t>7.500,00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=HYPERLINK("https://leilaoonline.net/lote/detalhe/131033", "1093")</f>
      </c>
      <c r="B172" s="4" t="s">
        <f>=HYPERLINK("https://leilaoonline.net/lote/detalhe/131033", " CAIXA CAMBIO CPL SC GR871 REMAN 300700, LOC. DIAMANTE ")</f>
      </c>
      <c r="C172" s="4" t="inlineStr">
        <is>
          <t>Vendido</t>
        </is>
      </c>
      <c r="D172" s="4" t="inlineStr">
        <is>
          <t>23</t>
        </is>
      </c>
      <c r="E172" s="5" t="inlineStr">
        <is>
          <t>13.000,00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=HYPERLINK("https://leilaoonline.net/lote/detalhe/131042", "1094")</f>
      </c>
      <c r="B173" s="4" t="s">
        <f>=HYPERLINK("https://leilaoonline.net/lote/detalhe/131042", " CAMBIO SC 544930 REMAN 3006820,  LOC. DIAMANTE ")</f>
      </c>
      <c r="C173" s="4" t="inlineStr">
        <is>
          <t>Vendido</t>
        </is>
      </c>
      <c r="D173" s="4" t="inlineStr">
        <is>
          <t>21</t>
        </is>
      </c>
      <c r="E173" s="5" t="inlineStr">
        <is>
          <t>12.000,00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=HYPERLINK("https://leilaoonline.net/lote/detalhe/131043", "1095")</f>
      </c>
      <c r="B174" s="4" t="s">
        <f>=HYPERLINK("https://leilaoonline.net/lote/detalhe/131043", " CAMBIO SC 544930 REMAN 3006820,  LOC. DIAMANTE ")</f>
      </c>
      <c r="C174" s="4" t="inlineStr">
        <is>
          <t>Vendido</t>
        </is>
      </c>
      <c r="D174" s="4" t="inlineStr">
        <is>
          <t>21</t>
        </is>
      </c>
      <c r="E174" s="5" t="inlineStr">
        <is>
          <t>12.000,00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=HYPERLINK("https://leilaoonline.net/lote/detalhe/131040", "1096")</f>
      </c>
      <c r="B175" s="4" t="s">
        <f>=HYPERLINK("https://leilaoonline.net/lote/detalhe/131040", " CAMBIO SC 544930 REMAN 3008072,  LOC. DIAMANTE ")</f>
      </c>
      <c r="C175" s="4" t="inlineStr">
        <is>
          <t>Vendido</t>
        </is>
      </c>
      <c r="D175" s="4" t="inlineStr">
        <is>
          <t>46</t>
        </is>
      </c>
      <c r="E175" s="5" t="inlineStr">
        <is>
          <t>18.500,00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=HYPERLINK("https://leilaoonline.net/lote/detalhe/131031", "1097")</f>
      </c>
      <c r="B176" s="4" t="s">
        <f>=HYPERLINK("https://leilaoonline.net/lote/detalhe/131031", " CAMBIO ZF 16S1600 REMAN 3006896, LOC. DIAMANTE ")</f>
      </c>
      <c r="C176" s="4" t="inlineStr">
        <is>
          <t>Vendido</t>
        </is>
      </c>
      <c r="D176" s="4" t="inlineStr">
        <is>
          <t>31</t>
        </is>
      </c>
      <c r="E176" s="5" t="inlineStr">
        <is>
          <t>12.250,00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=HYPERLINK("https://leilaoonline.net/lote/detalhe/131030", "1098")</f>
      </c>
      <c r="B177" s="4" t="s">
        <f>=HYPERLINK("https://leilaoonline.net/lote/detalhe/131030", " CAMBIO ZF 16S1600 REMAN 3006896, LOC. DIAMANTE ")</f>
      </c>
      <c r="C177" s="4" t="inlineStr">
        <is>
          <t>Vendido</t>
        </is>
      </c>
      <c r="D177" s="4" t="inlineStr">
        <is>
          <t>33</t>
        </is>
      </c>
      <c r="E177" s="5" t="inlineStr">
        <is>
          <t>14.000,00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=HYPERLINK("https://leilaoonline.net/lote/detalhe/131036", "1099")</f>
      </c>
      <c r="B178" s="4" t="s">
        <f>=HYPERLINK("https://leilaoonline.net/lote/detalhe/131036", " CAIXA TRANSFERENCIA ,VGD3253W REMAN 3006866, LOC. DIAMANTE ")</f>
      </c>
      <c r="C178" s="4" t="inlineStr">
        <is>
          <t>Vendido</t>
        </is>
      </c>
      <c r="D178" s="4" t="inlineStr">
        <is>
          <t>16</t>
        </is>
      </c>
      <c r="E178" s="5" t="inlineStr">
        <is>
          <t>7.750,00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=HYPERLINK("https://leilaoonline.net/lote/detalhe/131023", "1100")</f>
      </c>
      <c r="B179" s="4" t="s">
        <f>=HYPERLINK("https://leilaoonline.net/lote/detalhe/131023", " CAIXA TRANSFERENCIA, VGD3253W REMAN 3006866, LOC. DIAMANTE ")</f>
      </c>
      <c r="C179" s="4" t="inlineStr">
        <is>
          <t>Vendido</t>
        </is>
      </c>
      <c r="D179" s="4" t="inlineStr">
        <is>
          <t>16</t>
        </is>
      </c>
      <c r="E179" s="5" t="inlineStr">
        <is>
          <t>7.500,00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=HYPERLINK("https://leilaoonline.net/lote/detalhe/131045", "1101")</f>
      </c>
      <c r="B180" s="4" t="s">
        <f>=HYPERLINK("https://leilaoonline.net/lote/detalhe/131045", " CAIXA TRANSFERENCIA VG-500 REMAN 3008053, LOC. DIAMANTE ")</f>
      </c>
      <c r="C180" s="4" t="inlineStr">
        <is>
          <t>Vendido</t>
        </is>
      </c>
      <c r="D180" s="4" t="inlineStr">
        <is>
          <t>22</t>
        </is>
      </c>
      <c r="E180" s="5" t="inlineStr">
        <is>
          <t>9.750,00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=HYPERLINK("https://leilaoonline.net/lote/detalhe/131039", "1102")</f>
      </c>
      <c r="B181" s="4" t="s">
        <f>=HYPERLINK("https://leilaoonline.net/lote/detalhe/131039", " CAMBIO ZF G336 REMAN 3006907,  LOC. DIAMANTE")</f>
      </c>
      <c r="C181" s="4" t="inlineStr">
        <is>
          <t>Vendido</t>
        </is>
      </c>
      <c r="D181" s="4" t="inlineStr">
        <is>
          <t>7</t>
        </is>
      </c>
      <c r="E181" s="5" t="inlineStr">
        <is>
          <t>4.500,00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=HYPERLINK("https://leilaoonline.net/lote/detalhe/131037", "1103")</f>
      </c>
      <c r="B182" s="4" t="s">
        <f>=HYPERLINK("https://leilaoonline.net/lote/detalhe/131037", " CAMBIO ZF G336 REMAN 3006907,  LOC. DIAMANTE")</f>
      </c>
      <c r="C182" s="4" t="inlineStr">
        <is>
          <t>Vendido</t>
        </is>
      </c>
      <c r="D182" s="4" t="inlineStr">
        <is>
          <t>10</t>
        </is>
      </c>
      <c r="E182" s="5" t="inlineStr">
        <is>
          <t>6.250,00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=HYPERLINK("https://leilaoonline.net/lote/detalhe/131044", "1104")</f>
      </c>
      <c r="B183" s="4" t="s">
        <f>=HYPERLINK("https://leilaoonline.net/lote/detalhe/131044", " DIFERENCIAL TRAS POST SCANIA 1861570 REMAN 3008039, LOC. DIAMANTE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3.000,00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=HYPERLINK("https://leilaoonline.net/lote/detalhe/131035", "1105")</f>
      </c>
      <c r="B184" s="4" t="s">
        <f>=HYPERLINK("https://leilaoonline.net/lote/detalhe/131035", " CAMBIO ZF G20 REMAN 3006897, LOC. DIAMANTE")</f>
      </c>
      <c r="C184" s="4" t="inlineStr">
        <is>
          <t>Vendido</t>
        </is>
      </c>
      <c r="D184" s="4" t="inlineStr">
        <is>
          <t>9</t>
        </is>
      </c>
      <c r="E184" s="5" t="inlineStr">
        <is>
          <t>4.000,00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=HYPERLINK("https://leilaoonline.net/lote/detalhe/131025", "1106")</f>
      </c>
      <c r="B185" s="4" t="s">
        <f>=HYPERLINK("https://leilaoonline.net/lote/detalhe/131025", " DIFERENCIAL DIAN EV72, REMAN 3006911, LOC. DIAMANTE ")</f>
      </c>
      <c r="C185" s="4" t="inlineStr">
        <is>
          <t>Vendido</t>
        </is>
      </c>
      <c r="D185" s="4" t="inlineStr">
        <is>
          <t>18</t>
        </is>
      </c>
      <c r="E185" s="5" t="inlineStr">
        <is>
          <t>6.750,00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=HYPERLINK("https://leilaoonline.net/lote/detalhe/130979", "1107")</f>
      </c>
      <c r="B186" s="4" t="s">
        <f>=HYPERLINK("https://leilaoonline.net/lote/detalhe/130979", " CAMINHÃO M.BENZ AXOR 3344S 6X4, ANO 2014, FR362057, LOC.BARRA ")</f>
      </c>
      <c r="C186" s="4" t="inlineStr">
        <is>
          <t>Vendido</t>
        </is>
      </c>
      <c r="D186" s="4" t="inlineStr">
        <is>
          <t>104</t>
        </is>
      </c>
      <c r="E186" s="5" t="inlineStr">
        <is>
          <t>182.500,00</t>
        </is>
      </c>
      <c r="F186" s="4" t="inlineStr">
        <is>
          <t>1500.00</t>
        </is>
      </c>
    </row>
    <row collapsed="false" customFormat="false" customHeight="false" hidden="false" ht="12.1" outlineLevel="0" r="187">
      <c r="A187" s="5" t="s">
        <f>=HYPERLINK("https://leilaoonline.net/lote/detalhe/130982", "1108")</f>
      </c>
      <c r="B187" s="4" t="s">
        <f>=HYPERLINK("https://leilaoonline.net/lote/detalhe/130982", " CAMINHÃO M.BENZ AXOR 3344S 6X4, ANO 2014, FR10644, LOC.BARRA ")</f>
      </c>
      <c r="C187" s="4" t="inlineStr">
        <is>
          <t>Vendido</t>
        </is>
      </c>
      <c r="D187" s="4" t="inlineStr">
        <is>
          <t>105</t>
        </is>
      </c>
      <c r="E187" s="5" t="inlineStr">
        <is>
          <t>182.000,00</t>
        </is>
      </c>
      <c r="F187" s="4" t="inlineStr">
        <is>
          <t>1500.00</t>
        </is>
      </c>
    </row>
    <row collapsed="false" customFormat="false" customHeight="false" hidden="false" ht="12.1" outlineLevel="0" r="188">
      <c r="A188" s="5" t="s">
        <f>=HYPERLINK("https://leilaoonline.net/lote/detalhe/130981", "1109")</f>
      </c>
      <c r="B188" s="4" t="s">
        <f>=HYPERLINK("https://leilaoonline.net/lote/detalhe/130981", " CAMINHÃO M.BENZ AXOR 3344S 6X4, ANO 2014, FR10655, LOC. BARRA ")</f>
      </c>
      <c r="C188" s="4" t="inlineStr">
        <is>
          <t>Não vendido</t>
        </is>
      </c>
      <c r="D188" s="4" t="inlineStr">
        <is>
          <t>107</t>
        </is>
      </c>
      <c r="E188" s="5" t="inlineStr">
        <is>
          <t>196.500,00</t>
        </is>
      </c>
      <c r="F188" s="4" t="inlineStr">
        <is>
          <t>1500.00</t>
        </is>
      </c>
    </row>
    <row collapsed="false" customFormat="false" customHeight="false" hidden="false" ht="12.1" outlineLevel="0" r="189">
      <c r="A189" s="5" t="s">
        <f>=HYPERLINK("https://leilaoonline.net/lote/detalhe/130984", "1110")</f>
      </c>
      <c r="B189" s="4" t="s">
        <f>=HYPERLINK("https://leilaoonline.net/lote/detalhe/130984", " CAMINHÃO M.BENZ AXOR 3344S 6X4, ANO 2014, FR10647, LOC.BARRA ")</f>
      </c>
      <c r="C189" s="4" t="inlineStr">
        <is>
          <t>Vendido</t>
        </is>
      </c>
      <c r="D189" s="4" t="inlineStr">
        <is>
          <t>104</t>
        </is>
      </c>
      <c r="E189" s="5" t="inlineStr">
        <is>
          <t>183.600,00</t>
        </is>
      </c>
      <c r="F189" s="4" t="inlineStr">
        <is>
          <t>1500.00</t>
        </is>
      </c>
    </row>
    <row collapsed="false" customFormat="false" customHeight="false" hidden="false" ht="12.1" outlineLevel="0" r="190">
      <c r="A190" s="5" t="s">
        <f>=HYPERLINK("https://leilaoonline.net/lote/detalhe/130939", "1111")</f>
      </c>
      <c r="B190" s="4" t="s">
        <f>=HYPERLINK("https://leilaoonline.net/lote/detalhe/130939", " REBOQUE FACCHINI 7,50 M, ANO 1992, FR96524, LOC. BARRA ")</f>
      </c>
      <c r="C190" s="4" t="inlineStr">
        <is>
          <t>Vendido</t>
        </is>
      </c>
      <c r="D190" s="4" t="inlineStr">
        <is>
          <t>27</t>
        </is>
      </c>
      <c r="E190" s="5" t="inlineStr">
        <is>
          <t>20.500,00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=HYPERLINK("https://leilaoonline.net/lote/detalhe/131055", "1112")</f>
      </c>
      <c r="B191" s="4" t="s">
        <f>=HYPERLINK("https://leilaoonline.net/lote/detalhe/131055", " CARRETA AREA DE VIVENCIA, ANO 2011/2012, FR103987, LOC. BARRA ")</f>
      </c>
      <c r="C191" s="4" t="inlineStr">
        <is>
          <t>Não vendido</t>
        </is>
      </c>
      <c r="D191" s="4" t="inlineStr">
        <is>
          <t>69</t>
        </is>
      </c>
      <c r="E191" s="5" t="inlineStr">
        <is>
          <t>30.750,00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=HYPERLINK("https://leilaoonline.net/lote/detalhe/131066", "1113")</f>
      </c>
      <c r="B192" s="4" t="s">
        <f>=HYPERLINK("https://leilaoonline.net/lote/detalhe/131066", " REBOQUE C/ MOTOR, ANO 1983/1983,  FR102520, LOC. IPAUSSU ")</f>
      </c>
      <c r="C192" s="4" t="inlineStr">
        <is>
          <t>Vendido</t>
        </is>
      </c>
      <c r="D192" s="4" t="inlineStr">
        <is>
          <t>13</t>
        </is>
      </c>
      <c r="E192" s="5" t="inlineStr">
        <is>
          <t>19.500,00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=HYPERLINK("https://leilaoonline.net/lote/detalhe/130953", "1114")</f>
      </c>
      <c r="B193" s="4" t="s">
        <f>=HYPERLINK("https://leilaoonline.net/lote/detalhe/130953", " REBOQUE RODOVIARIA 7,60M, ANO 1984, FR96558, LOC. BARRA ")</f>
      </c>
      <c r="C193" s="4" t="inlineStr">
        <is>
          <t>Vendido</t>
        </is>
      </c>
      <c r="D193" s="4" t="inlineStr">
        <is>
          <t>28</t>
        </is>
      </c>
      <c r="E193" s="5" t="inlineStr">
        <is>
          <t>23.500,00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=HYPERLINK("https://leilaoonline.net/lote/detalhe/130958", "1115")</f>
      </c>
      <c r="B194" s="4" t="s">
        <f>=HYPERLINK("https://leilaoonline.net/lote/detalhe/130958", " COLHEDORA J. DEERE 3522 2L, ANO 2012, FR101482, LOC. BARRA ")</f>
      </c>
      <c r="C194" s="4" t="inlineStr">
        <is>
          <t>Vendido</t>
        </is>
      </c>
      <c r="D194" s="4" t="inlineStr">
        <is>
          <t>22</t>
        </is>
      </c>
      <c r="E194" s="5" t="inlineStr">
        <is>
          <t>46.000,00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=HYPERLINK("https://leilaoonline.net/lote/detalhe/130940", "1116")</f>
      </c>
      <c r="B195" s="4" t="s">
        <f>=HYPERLINK("https://leilaoonline.net/lote/detalhe/130940", " REBOQUE RODOVIARIA 7,60M COM A CAIXA , ANO 1984, FR96552/ 96863, LOC. BARRA ")</f>
      </c>
      <c r="C195" s="4" t="inlineStr">
        <is>
          <t>Não vendido</t>
        </is>
      </c>
      <c r="D195" s="4" t="inlineStr">
        <is>
          <t>14</t>
        </is>
      </c>
      <c r="E195" s="5" t="inlineStr">
        <is>
          <t>14.500,00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=HYPERLINK("https://leilaoonline.net/lote/detalhe/130957", "1118")</f>
      </c>
      <c r="B196" s="4" t="s">
        <f>=HYPERLINK("https://leilaoonline.net/lote/detalhe/130957", " SUBSOLADOR, ANO 1997, FR103225, LOC. BARRA ")</f>
      </c>
      <c r="C196" s="4" t="inlineStr">
        <is>
          <t>Vendido</t>
        </is>
      </c>
      <c r="D196" s="4" t="inlineStr">
        <is>
          <t>4</t>
        </is>
      </c>
      <c r="E196" s="5" t="inlineStr">
        <is>
          <t>1.900,00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=HYPERLINK("https://leilaoonline.net/lote/detalhe/130952", "1120")</f>
      </c>
      <c r="B197" s="4" t="s">
        <f>=HYPERLINK("https://leilaoonline.net/lote/detalhe/130952", " S.REBOQUE VINHAÇA RANDON 12,50M COM TANQUE, ANO 2012, FR70901, LOC. BARRA ")</f>
      </c>
      <c r="C197" s="4" t="inlineStr">
        <is>
          <t>Não vendido</t>
        </is>
      </c>
      <c r="D197" s="4" t="inlineStr">
        <is>
          <t>42</t>
        </is>
      </c>
      <c r="E197" s="5" t="inlineStr">
        <is>
          <t>80.000,00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=HYPERLINK("https://leilaoonline.net/lote/detalhe/130941", "1121")</f>
      </c>
      <c r="B198" s="4" t="s">
        <f>=HYPERLINK("https://leilaoonline.net/lote/detalhe/130941", " ENLEIRADEIRA, FR103423, LOC. BARRA ")</f>
      </c>
      <c r="C198" s="4" t="inlineStr">
        <is>
          <t>Vendido</t>
        </is>
      </c>
      <c r="D198" s="4" t="inlineStr">
        <is>
          <t>3</t>
        </is>
      </c>
      <c r="E198" s="5" t="inlineStr">
        <is>
          <t>2.500,00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=HYPERLINK("https://leilaoonline.net/lote/detalhe/130950", "1122")</f>
      </c>
      <c r="B199" s="4" t="s">
        <f>=HYPERLINK("https://leilaoonline.net/lote/detalhe/130950", " ENLEIRADEIRA, FR103435 , LOC. BARRA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=HYPERLINK("https://leilaoonline.net/lote/detalhe/131048", "1123")</f>
      </c>
      <c r="B200" s="4" t="s">
        <f>=HYPERLINK("https://leilaoonline.net/lote/detalhe/131048", " MOTOR DIESEL MB 352, REMAN 3002323, LOC. BARRA ")</f>
      </c>
      <c r="C200" s="4" t="inlineStr">
        <is>
          <t>Vendido</t>
        </is>
      </c>
      <c r="D200" s="4" t="inlineStr">
        <is>
          <t>38</t>
        </is>
      </c>
      <c r="E200" s="5" t="inlineStr">
        <is>
          <t>16.250,00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=HYPERLINK("https://leilaoonline.net/lote/detalhe/131052", "1124")</f>
      </c>
      <c r="B201" s="4" t="s">
        <f>=HYPERLINK("https://leilaoonline.net/lote/detalhe/131052", " MOTOR DIESEL SC DSC11 6C REMAN 3000587, LOC. BARRA ")</f>
      </c>
      <c r="C201" s="4" t="inlineStr">
        <is>
          <t>Vendido</t>
        </is>
      </c>
      <c r="D201" s="4" t="inlineStr">
        <is>
          <t>61</t>
        </is>
      </c>
      <c r="E201" s="5" t="inlineStr">
        <is>
          <t>22.250,00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=HYPERLINK("https://leilaoonline.net/lote/detalhe/131046", "1125")</f>
      </c>
      <c r="B202" s="4" t="s">
        <f>=HYPERLINK("https://leilaoonline.net/lote/detalhe/131046", " MOTOR DIESEL MB OM366 6C REMAN 3002743, LOC. BARRA ")</f>
      </c>
      <c r="C202" s="4" t="inlineStr">
        <is>
          <t>Vendido</t>
        </is>
      </c>
      <c r="D202" s="4" t="inlineStr">
        <is>
          <t>41</t>
        </is>
      </c>
      <c r="E202" s="5" t="inlineStr">
        <is>
          <t>18.000,00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=HYPERLINK("https://leilaoonline.net/lote/detalhe/131056", "1126")</f>
      </c>
      <c r="B203" s="4" t="s">
        <f>=HYPERLINK("https://leilaoonline.net/lote/detalhe/131056", " MOTOR DIESEL MB OM3555 5C REMAN 3000472, LOC. BARRA ")</f>
      </c>
      <c r="C203" s="4" t="inlineStr">
        <is>
          <t>Vendido</t>
        </is>
      </c>
      <c r="D203" s="4" t="inlineStr">
        <is>
          <t>17</t>
        </is>
      </c>
      <c r="E203" s="5" t="inlineStr">
        <is>
          <t>8.000,00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=HYPERLINK("https://leilaoonline.net/lote/detalhe/131050", "1127")</f>
      </c>
      <c r="B204" s="4" t="s">
        <f>=HYPERLINK("https://leilaoonline.net/lote/detalhe/131050", " MOTOR DIESEL CAT 3306 6C, REMAN 3000523, LOC. BARRA ")</f>
      </c>
      <c r="C204" s="4" t="inlineStr">
        <is>
          <t>Vendido</t>
        </is>
      </c>
      <c r="D204" s="4" t="inlineStr">
        <is>
          <t>34</t>
        </is>
      </c>
      <c r="E204" s="5" t="inlineStr">
        <is>
          <t>15.000,00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=HYPERLINK("https://leilaoonline.net/lote/detalhe/131047", "1128")</f>
      </c>
      <c r="B205" s="4" t="s">
        <f>=HYPERLINK("https://leilaoonline.net/lote/detalhe/131047", " 03 MOTOR CUMMINS, E 1 ESMERIL , LOC. BARRA ")</f>
      </c>
      <c r="C205" s="4" t="inlineStr">
        <is>
          <t>Vendido</t>
        </is>
      </c>
      <c r="D205" s="4" t="inlineStr">
        <is>
          <t>56</t>
        </is>
      </c>
      <c r="E205" s="5" t="inlineStr">
        <is>
          <t>24.000,00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=HYPERLINK("https://leilaoonline.net/lote/detalhe/131049", "1129")</f>
      </c>
      <c r="B206" s="4" t="s">
        <f>=HYPERLINK("https://leilaoonline.net/lote/detalhe/131049", " 05 MAQUINAS DE SOLDA, SF, LOC. BARRA ")</f>
      </c>
      <c r="C206" s="4" t="inlineStr">
        <is>
          <t>Vendido</t>
        </is>
      </c>
      <c r="D206" s="4" t="inlineStr">
        <is>
          <t>3</t>
        </is>
      </c>
      <c r="E206" s="5" t="inlineStr">
        <is>
          <t>3.250,00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=HYPERLINK("https://leilaoonline.net/lote/detalhe/130959", "1130")</f>
      </c>
      <c r="B207" s="4" t="s">
        <f>=HYPERLINK("https://leilaoonline.net/lote/detalhe/130959", " CAMINHÃO M.BENZ AXOR 3344S 6X4, ANO 2014, FR131244, LOC. BARRA ")</f>
      </c>
      <c r="C207" s="4" t="inlineStr">
        <is>
          <t>Vendido</t>
        </is>
      </c>
      <c r="D207" s="4" t="inlineStr">
        <is>
          <t>4</t>
        </is>
      </c>
      <c r="E207" s="5" t="inlineStr">
        <is>
          <t>133.000,00</t>
        </is>
      </c>
      <c r="F207" s="4" t="inlineStr">
        <is>
          <t>1500.00</t>
        </is>
      </c>
    </row>
    <row collapsed="false" customFormat="false" customHeight="false" hidden="false" ht="12.1" outlineLevel="0" r="208">
      <c r="A208" s="5" t="s">
        <f>=HYPERLINK("https://leilaoonline.net/lote/detalhe/130946", "3217")</f>
      </c>
      <c r="B208" s="4" t="s">
        <f>=HYPERLINK("https://leilaoonline.net/lote/detalhe/130946", " TORRE DE RESFRIAMENTO C/ MOTOR E REDUTOR ( OBS. BASE AO LADO NÃO FAZ PARTE DO LOTE ) LOC. DIAMANTE")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5.000,00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=HYPERLINK("https://leilaoonline.net/lote/detalhe/131020", "3312")</f>
      </c>
      <c r="B209" s="4" t="s">
        <f>=HYPERLINK("https://leilaoonline.net/lote/detalhe/131020", " MOTOR P/ CAMINHÃO VW. ( VENDA COMO SUCATA ) LOC. DIAMANTE ")</f>
      </c>
      <c r="C209" s="4" t="inlineStr">
        <is>
          <t>Não vendido</t>
        </is>
      </c>
      <c r="D209" s="4" t="inlineStr">
        <is>
          <t>35</t>
        </is>
      </c>
      <c r="E209" s="5" t="inlineStr">
        <is>
          <t>12.000,00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=HYPERLINK("https://leilaoonline.net/lote/detalhe/130943", "3343")</f>
      </c>
      <c r="B210" s="4" t="s">
        <f>=HYPERLINK("https://leilaoonline.net/lote/detalhe/130943", " 4 TANQUES SENDO 1 COR VERDE, 3 COR PRETA E 1 CAIXA DE CONTENÇÃO; LOC: BARRA")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=HYPERLINK("https://leilaoonline.net/lote/detalhe/131074", "3359")</f>
      </c>
      <c r="B211" s="4" t="s">
        <f>=HYPERLINK("https://leilaoonline.net/lote/detalhe/131074", " TRANSBORDO ATA 12000 12T, ANO 2000, FR123731, LOC. SANTA CANDIDA ")</f>
      </c>
      <c r="C211" s="4" t="inlineStr">
        <is>
          <t>Vendido</t>
        </is>
      </c>
      <c r="D211" s="4" t="inlineStr">
        <is>
          <t>11</t>
        </is>
      </c>
      <c r="E211" s="5" t="inlineStr">
        <is>
          <t>18.000,00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=HYPERLINK("https://leilaoonline.net/lote/detalhe/131068", "3395")</f>
      </c>
      <c r="B212" s="4" t="s">
        <f>=HYPERLINK("https://leilaoonline.net/lote/detalhe/131068", " TRATOR J.DEERE 8260R, FR10278, FALTANDO PEÇAS, ANO 2013 - LOC. BARRA ")</f>
      </c>
      <c r="C212" s="4" t="inlineStr">
        <is>
          <t>Vendido</t>
        </is>
      </c>
      <c r="D212" s="4" t="inlineStr">
        <is>
          <t>75</t>
        </is>
      </c>
      <c r="E212" s="5" t="inlineStr">
        <is>
          <t>119.000,00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=HYPERLINK("https://leilaoonline.net/lote/detalhe/130949", "3428")</f>
      </c>
      <c r="B213" s="4" t="s">
        <f>=HYPERLINK("https://leilaoonline.net/lote/detalhe/130949", " TRATOR VALTRA ,  ANO 2008, FR163436,  MOD 205I 4X4 HIFLOW, LOC. DIAMANTE ")</f>
      </c>
      <c r="C213" s="4" t="inlineStr">
        <is>
          <t>Vendido</t>
        </is>
      </c>
      <c r="D213" s="4" t="inlineStr">
        <is>
          <t>95</t>
        </is>
      </c>
      <c r="E213" s="5" t="inlineStr">
        <is>
          <t>139.000,00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=HYPERLINK("https://leilaoonline.net/lote/detalhe/130956", "3432")</f>
      </c>
      <c r="B214" s="4" t="s">
        <f>=HYPERLINK("https://leilaoonline.net/lote/detalhe/130956", " TRANSBORDO SANTAL 12 T, FR107701, ANO 2008 -  LOC. DIAMANTE ")</f>
      </c>
      <c r="C214" s="4" t="inlineStr">
        <is>
          <t>Vendido</t>
        </is>
      </c>
      <c r="D214" s="4" t="inlineStr">
        <is>
          <t>3</t>
        </is>
      </c>
      <c r="E214" s="5" t="inlineStr">
        <is>
          <t>12.000,00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=HYPERLINK("https://leilaoonline.net/lote/detalhe/131065", "3462")</f>
      </c>
      <c r="B215" s="4" t="s">
        <f>=HYPERLINK("https://leilaoonline.net/lote/detalhe/131065", " LAMINA PEQUENA, SF, LOC. PARAISO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=HYPERLINK("https://leilaoonline.net/lote/detalhe/131064", "3463")</f>
      </c>
      <c r="B216" s="4" t="s">
        <f>=HYPERLINK("https://leilaoonline.net/lote/detalhe/131064", " CULTIVADOR AZUL , FR48166,  ANO 2015 - LOC. PARAISO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=HYPERLINK("https://leilaoonline.net/lote/detalhe/132147", "3607")</f>
      </c>
      <c r="B217" s="4" t="s">
        <f>=HYPERLINK("https://leilaoonline.net/lote/detalhe/132147", "LOTE COM 3 PINOS BOLAS, SF, LOC.DIAMANTE ")</f>
      </c>
      <c r="C217" s="4" t="inlineStr">
        <is>
          <t>Não vendido</t>
        </is>
      </c>
      <c r="D217" s="4" t="inlineStr">
        <is>
          <t>2</t>
        </is>
      </c>
      <c r="E217" s="5" t="inlineStr">
        <is>
          <t>1.150,00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=HYPERLINK("https://leilaoonline.net/lote/detalhe/132148", "3608")</f>
      </c>
      <c r="B218" s="4" t="s">
        <f>=HYPERLINK("https://leilaoonline.net/lote/detalhe/132148", "01 MESA ANTIGA C/ 7 GAVETAS, SF , LOC. BARRA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=HYPERLINK("https://leilaoonline.net/lote/detalhe/131058", "4130")</f>
      </c>
      <c r="B219" s="4" t="s">
        <f>=HYPERLINK("https://leilaoonline.net/lote/detalhe/131058", " TRANSBORDO , LOC. PARAISO 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11.000,00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=HYPERLINK("https://leilaoonline.net/lote/detalhe/131071", "4157")</f>
      </c>
      <c r="B220" s="4" t="s">
        <f>=HYPERLINK("https://leilaoonline.net/lote/detalhe/131071", " CARRETA ESPINHA DE PEIXE, FR19981, ANO 2006 - LOC. PARAISO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=HYPERLINK("https://leilaoonline.net/lote/detalhe/131401", "11259")</f>
      </c>
      <c r="B221" s="4" t="s">
        <f>=HYPERLINK("https://leilaoonline.net/lote/detalhe/131401", " REBOQUE CANA PICADA, ANO 2010, FR93634, LOC. ZANIN ")</f>
      </c>
      <c r="C221" s="4" t="inlineStr">
        <is>
          <t>Não vendido</t>
        </is>
      </c>
      <c r="D221" s="4" t="inlineStr">
        <is>
          <t>2</t>
        </is>
      </c>
      <c r="E221" s="5" t="inlineStr">
        <is>
          <t>31.000,00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=HYPERLINK("https://leilaoonline.net/lote/detalhe/131406", "11311")</f>
      </c>
      <c r="B222" s="4" t="s">
        <f>=HYPERLINK("https://leilaoonline.net/lote/detalhe/131406", " COLHEDORA CASE 8800, ANO 2010, FR32223, LOC. BONFIM 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28.000,00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=HYPERLINK("https://leilaoonline.net/lote/detalhe/131395", "11312")</f>
      </c>
      <c r="B223" s="4" t="s">
        <f>=HYPERLINK("https://leilaoonline.net/lote/detalhe/131395", " COLHEDORA CASE 8800, ANO 2010, FR62217, LOC. BONFIM ")</f>
      </c>
      <c r="C223" s="4" t="inlineStr">
        <is>
          <t>Vendido</t>
        </is>
      </c>
      <c r="D223" s="4" t="inlineStr">
        <is>
          <t>4</t>
        </is>
      </c>
      <c r="E223" s="5" t="inlineStr">
        <is>
          <t>40.000,00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=HYPERLINK("https://leilaoonline.net/lote/detalhe/131399", "11313")</f>
      </c>
      <c r="B224" s="4" t="s">
        <f>=HYPERLINK("https://leilaoonline.net/lote/detalhe/131399", " COLHEDORA CASE 8800, ANO 2010, FR32223, LOC. BONFIM 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40.000,00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=HYPERLINK("https://leilaoonline.net/lote/detalhe/131408", "11316")</f>
      </c>
      <c r="B225" s="4" t="s">
        <f>=HYPERLINK("https://leilaoonline.net/lote/detalhe/131408", " TRATOR J.DEERE 7225J, ANO 2013, FR100349,  ( FALTA PÇAS ) LOC. BONFIM ")</f>
      </c>
      <c r="C225" s="4" t="inlineStr">
        <is>
          <t>Não vendido</t>
        </is>
      </c>
      <c r="D225" s="4" t="inlineStr">
        <is>
          <t>12</t>
        </is>
      </c>
      <c r="E225" s="5" t="inlineStr">
        <is>
          <t>36.000,00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=HYPERLINK("https://leilaoonline.net/lote/detalhe/131398", "11317")</f>
      </c>
      <c r="B226" s="4" t="s">
        <f>=HYPERLINK("https://leilaoonline.net/lote/detalhe/131398", " TRATOR VALTRA BH145 4X4, ANO 2013, FR126072, LOC. BONFIM ")</f>
      </c>
      <c r="C226" s="4" t="inlineStr">
        <is>
          <t>Vendido</t>
        </is>
      </c>
      <c r="D226" s="4" t="inlineStr">
        <is>
          <t>98</t>
        </is>
      </c>
      <c r="E226" s="5" t="inlineStr">
        <is>
          <t>146.000,00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=HYPERLINK("https://leilaoonline.net/lote/detalhe/131407", "11318")</f>
      </c>
      <c r="B227" s="4" t="s">
        <f>=HYPERLINK("https://leilaoonline.net/lote/detalhe/131407", " TRATOR PULVERIZADOR VALTRA BS 3020H, ANO 2011, FR163491, ( FALTANDO PÇAS) LOC. BONFIM ")</f>
      </c>
      <c r="C227" s="4" t="inlineStr">
        <is>
          <t>Vendido</t>
        </is>
      </c>
      <c r="D227" s="4" t="inlineStr">
        <is>
          <t>104</t>
        </is>
      </c>
      <c r="E227" s="5" t="inlineStr">
        <is>
          <t>132.000,00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=HYPERLINK("https://leilaoonline.net/lote/detalhe/131397", "11319")</f>
      </c>
      <c r="B228" s="4" t="s">
        <f>=HYPERLINK("https://leilaoonline.net/lote/detalhe/131397", " ÔNIBUS M. BENZ OF 1315, ANO 1996, FR97480, LOC. BONFIM ")</f>
      </c>
      <c r="C228" s="4" t="inlineStr">
        <is>
          <t>Vendido</t>
        </is>
      </c>
      <c r="D228" s="4" t="inlineStr">
        <is>
          <t>26</t>
        </is>
      </c>
      <c r="E228" s="5" t="inlineStr">
        <is>
          <t>20.500,00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=HYPERLINK("https://leilaoonline.net/lote/detalhe/131409", "11321")</f>
      </c>
      <c r="B229" s="4" t="s">
        <f>=HYPERLINK("https://leilaoonline.net/lote/detalhe/131409", "S.R FACCHINI PRANCHA 4X2, ANO 2007, FR360563,  LOC. ZANIN")</f>
      </c>
      <c r="C229" s="4" t="inlineStr">
        <is>
          <t>Não vendido</t>
        </is>
      </c>
      <c r="D229" s="4" t="inlineStr">
        <is>
          <t>67</t>
        </is>
      </c>
      <c r="E229" s="5" t="inlineStr">
        <is>
          <t>127.000,00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=HYPERLINK("https://leilaoonline.net/lote/detalhe/132074", "11322")</f>
      </c>
      <c r="B230" s="4" t="s">
        <f>=HYPERLINK("https://leilaoonline.net/lote/detalhe/132074", " ROLO COMPACTADOR, FR1512, LOC. ZANIN")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2.000,00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=HYPERLINK("https://leilaoonline.net/lote/detalhe/132073", "11323")</f>
      </c>
      <c r="B231" s="4" t="s">
        <f>=HYPERLINK("https://leilaoonline.net/lote/detalhe/132073", " CULTIVADOR DMB, ANO 2014,  FR17216, LOC. ZANIN")</f>
      </c>
      <c r="C231" s="4" t="inlineStr">
        <is>
          <t>Vendido</t>
        </is>
      </c>
      <c r="D231" s="4" t="inlineStr">
        <is>
          <t>4</t>
        </is>
      </c>
      <c r="E231" s="5" t="inlineStr">
        <is>
          <t>2.750,00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=HYPERLINK("https://leilaoonline.net/lote/detalhe/132075", "11324")</f>
      </c>
      <c r="B232" s="4" t="s">
        <f>=HYPERLINK("https://leilaoonline.net/lote/detalhe/132075", " CULTIVADOR DMB,  ANO 2007, FR361133, LOC. ZANIN")</f>
      </c>
      <c r="C232" s="4" t="inlineStr">
        <is>
          <t>Não vendido</t>
        </is>
      </c>
      <c r="D232" s="4" t="inlineStr">
        <is>
          <t>13</t>
        </is>
      </c>
      <c r="E232" s="5" t="inlineStr">
        <is>
          <t>5.000,00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=HYPERLINK("https://leilaoonline.net/lote/detalhe/132072", "11325")</f>
      </c>
      <c r="B233" s="4" t="s">
        <f>=HYPERLINK("https://leilaoonline.net/lote/detalhe/132072", " 04 MAQUINAS DE SOLDA, SF, LOC. ZANIN")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=HYPERLINK("https://leilaoonline.net/lote/detalhe/131396", "11326")</f>
      </c>
      <c r="B234" s="4" t="s">
        <f>=HYPERLINK("https://leilaoonline.net/lote/detalhe/131396", " CAMINHAO VW 26.220 EURO3 WORKER, ANO 2007/2008, FR360141, LOC. ZANIN ")</f>
      </c>
      <c r="C234" s="4" t="inlineStr">
        <is>
          <t>Não vendido</t>
        </is>
      </c>
      <c r="D234" s="4" t="inlineStr">
        <is>
          <t>43</t>
        </is>
      </c>
      <c r="E234" s="5" t="inlineStr">
        <is>
          <t>95.000,00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=HYPERLINK("https://leilaoonline.net/lote/detalhe/131402", "11327")</f>
      </c>
      <c r="B235" s="4" t="s">
        <f>=HYPERLINK("https://leilaoonline.net/lote/detalhe/131402", " CAMINHÃO VW 26.220 EURO3 WORKER, ANO 2007/2008, FR360140, LOC. ZANIN ")</f>
      </c>
      <c r="C235" s="4" t="inlineStr">
        <is>
          <t>Não vendido</t>
        </is>
      </c>
      <c r="D235" s="4" t="inlineStr">
        <is>
          <t>39</t>
        </is>
      </c>
      <c r="E235" s="5" t="inlineStr">
        <is>
          <t>84.000,00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=HYPERLINK("https://leilaoonline.net/lote/detalhe/131404", "11328")</f>
      </c>
      <c r="B236" s="4" t="s">
        <f>=HYPERLINK("https://leilaoonline.net/lote/detalhe/131404", " CARRETA ABRIGO FAB.PRÓPRIA, ANO 2010, FR361999, LOC. ZANIN ")</f>
      </c>
      <c r="C236" s="4" t="inlineStr">
        <is>
          <t>Vendido</t>
        </is>
      </c>
      <c r="D236" s="4" t="inlineStr">
        <is>
          <t>21</t>
        </is>
      </c>
      <c r="E236" s="5" t="inlineStr">
        <is>
          <t>7.000,00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=HYPERLINK("https://leilaoonline.net/lote/detalhe/131415", "11329")</f>
      </c>
      <c r="B237" s="4" t="s">
        <f>=HYPERLINK("https://leilaoonline.net/lote/detalhe/131415", " CAMINHÃO M.BENZ L 2213, ANO 1983/1984, FR360101, LOC. SERRA ")</f>
      </c>
      <c r="C237" s="4" t="inlineStr">
        <is>
          <t>Vendido</t>
        </is>
      </c>
      <c r="D237" s="4" t="inlineStr">
        <is>
          <t>113</t>
        </is>
      </c>
      <c r="E237" s="5" t="inlineStr">
        <is>
          <t>108.000,00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=HYPERLINK("https://leilaoonline.net/lote/detalhe/131413", "11330")</f>
      </c>
      <c r="B238" s="4" t="s">
        <f>=HYPERLINK("https://leilaoonline.net/lote/detalhe/131413", " COLHEDORA CASE 7700 , ANO 2007, FR117520, LOC. SERRA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=HYPERLINK("https://leilaoonline.net/lote/detalhe/131414", "11331")</f>
      </c>
      <c r="B239" s="4" t="s">
        <f>=HYPERLINK("https://leilaoonline.net/lote/detalhe/131414", " COLHEDORA CASE 7700 , ANO 2006, FR360877, LOC. SERRA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=HYPERLINK("https://leilaoonline.net/lote/detalhe/131432", "11332")</f>
      </c>
      <c r="B240" s="4" t="s">
        <f>=HYPERLINK("https://leilaoonline.net/lote/detalhe/131432", " COLHEDORA J. DEERE, ANO 2007,  FR117518,  LOC. SERRA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=HYPERLINK("https://leilaoonline.net/lote/detalhe/131424", "11333")</f>
      </c>
      <c r="B241" s="4" t="s">
        <f>=HYPERLINK("https://leilaoonline.net/lote/detalhe/131424", " CAMINHAO VW 26.220 EURO3 WORKER, COMBOIO, ANO 2010, FR92333,  LOC. JUNQUEIRA")</f>
      </c>
      <c r="C241" s="4" t="inlineStr">
        <is>
          <t>Vendido</t>
        </is>
      </c>
      <c r="D241" s="4" t="inlineStr">
        <is>
          <t>68</t>
        </is>
      </c>
      <c r="E241" s="5" t="inlineStr">
        <is>
          <t>107.000,00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=HYPERLINK("https://leilaoonline.net/lote/detalhe/131418", "11334")</f>
      </c>
      <c r="B242" s="4" t="s">
        <f>=HYPERLINK("https://leilaoonline.net/lote/detalhe/131418", " S.REBOQUE RANDON 11,80 M, ANO 2007, FR93625,  LOC.JUNQUEIRA ")</f>
      </c>
      <c r="C242" s="4" t="inlineStr">
        <is>
          <t>Vendido</t>
        </is>
      </c>
      <c r="D242" s="4" t="inlineStr">
        <is>
          <t>15</t>
        </is>
      </c>
      <c r="E242" s="5" t="inlineStr">
        <is>
          <t>24.000,00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=HYPERLINK("https://leilaoonline.net/lote/detalhe/131423", "11335")</f>
      </c>
      <c r="B243" s="4" t="s">
        <f>=HYPERLINK("https://leilaoonline.net/lote/detalhe/131423", " CAMINHAO VW 26.220  EURO3 WORKER, TANQUE FIBRA, ANO 2010, FR92329/ 92023,  LOC. JUNQUEIRA")</f>
      </c>
      <c r="C243" s="4" t="inlineStr">
        <is>
          <t>Vendido</t>
        </is>
      </c>
      <c r="D243" s="4" t="inlineStr">
        <is>
          <t>97</t>
        </is>
      </c>
      <c r="E243" s="5" t="inlineStr">
        <is>
          <t>141.000,00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=HYPERLINK("https://leilaoonline.net/lote/detalhe/131426", "11336")</f>
      </c>
      <c r="B244" s="4" t="s">
        <f>=HYPERLINK("https://leilaoonline.net/lote/detalhe/131426", " TRATOR CASE MX240, MAGNUM 4X4, ANO 2010, FR93332,  LOC. JUNQUEIRA")</f>
      </c>
      <c r="C244" s="4" t="inlineStr">
        <is>
          <t>Vendido</t>
        </is>
      </c>
      <c r="D244" s="4" t="inlineStr">
        <is>
          <t>102</t>
        </is>
      </c>
      <c r="E244" s="5" t="inlineStr">
        <is>
          <t>131.000,00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=HYPERLINK("https://leilaoonline.net/lote/detalhe/131427", "11337")</f>
      </c>
      <c r="B245" s="4" t="s">
        <f>=HYPERLINK("https://leilaoonline.net/lote/detalhe/131427", " CAMINHAO M. BENZ 1718, ANO 2009, FR119928,  LOC. JUNQUEIRA")</f>
      </c>
      <c r="C245" s="4" t="inlineStr">
        <is>
          <t>Vendido</t>
        </is>
      </c>
      <c r="D245" s="4" t="inlineStr">
        <is>
          <t>42</t>
        </is>
      </c>
      <c r="E245" s="5" t="inlineStr">
        <is>
          <t>67.000,00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=HYPERLINK("https://leilaoonline.net/lote/detalhe/131420", "11338")</f>
      </c>
      <c r="B246" s="4" t="s">
        <f>=HYPERLINK("https://leilaoonline.net/lote/detalhe/131420", " CAMINHAO VW 26.220 EURO3 WORKER, (SUCATEADO) ANO 2010, FR93321,  LOC. JUNQUEIRA")</f>
      </c>
      <c r="C246" s="4" t="inlineStr">
        <is>
          <t>Vendido</t>
        </is>
      </c>
      <c r="D246" s="4" t="inlineStr">
        <is>
          <t>50</t>
        </is>
      </c>
      <c r="E246" s="5" t="inlineStr">
        <is>
          <t>36.500,00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=HYPERLINK("https://leilaoonline.net/lote/detalhe/131421", "11339")</f>
      </c>
      <c r="B247" s="4" t="s">
        <f>=HYPERLINK("https://leilaoonline.net/lote/detalhe/131421", " S.REBOQUE USICAMP 12,50 M, ANO 2012, FR93677, LOC.JUNQUEIRA ")</f>
      </c>
      <c r="C247" s="4" t="inlineStr">
        <is>
          <t>Não vendido</t>
        </is>
      </c>
      <c r="D247" s="4" t="inlineStr">
        <is>
          <t>7</t>
        </is>
      </c>
      <c r="E247" s="5" t="inlineStr">
        <is>
          <t>27.000,00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=HYPERLINK("https://leilaoonline.net/lote/detalhe/131429", "11342")</f>
      </c>
      <c r="B248" s="4" t="s">
        <f>=HYPERLINK("https://leilaoonline.net/lote/detalhe/131429", " REBOQUE 4E RANDON 12,5M, ANO 2010, FR96769, LOC. JUNQUEIRA")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=HYPERLINK("https://leilaoonline.net/lote/detalhe/131416", "11346")</f>
      </c>
      <c r="B249" s="4" t="s">
        <f>=HYPERLINK("https://leilaoonline.net/lote/detalhe/131416", " S.REBOQUE RANDON 11,80 M, ANO 2008, FR96284, LOC.JUNQUEIRA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=HYPERLINK("https://leilaoonline.net/lote/detalhe/131417", "11347")</f>
      </c>
      <c r="B250" s="4" t="s">
        <f>=HYPERLINK("https://leilaoonline.net/lote/detalhe/131417", " REBOQUE 4E RANDON 12,5M, ANO 2007, FR93629, LOC.JUNQUEIRA 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30.000,00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=HYPERLINK("https://leilaoonline.net/lote/detalhe/131435", "11348")</f>
      </c>
      <c r="B251" s="4" t="s">
        <f>=HYPERLINK("https://leilaoonline.net/lote/detalhe/131435", " REBOQUE 4E RANDON 12,5M, ANO 2012, FR93685, LOC. JUNQUEIRA ")</f>
      </c>
      <c r="C251" s="4" t="inlineStr">
        <is>
          <t>Não vendido</t>
        </is>
      </c>
      <c r="D251" s="4" t="inlineStr">
        <is>
          <t>1</t>
        </is>
      </c>
      <c r="E251" s="5" t="inlineStr">
        <is>
          <t>30.000,00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=HYPERLINK("https://leilaoonline.net/lote/detalhe/131440", "11350")</f>
      </c>
      <c r="B252" s="4" t="s">
        <f>=HYPERLINK("https://leilaoonline.net/lote/detalhe/131440", " S. REBOQUE USICAMP 11,80 M, ANO 2007, FR121396, LOC. JUNQUEIRA")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20.000,00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=HYPERLINK("https://leilaoonline.net/lote/detalhe/131412", "11367")</f>
      </c>
      <c r="B253" s="4" t="s">
        <f>=HYPERLINK("https://leilaoonline.net/lote/detalhe/131412", "TRATOR CASE MX 240 MAGNUM 4X4, ANO 2010, FR93321, LOC. SERRA ")</f>
      </c>
      <c r="C253" s="4" t="inlineStr">
        <is>
          <t>Não vendido</t>
        </is>
      </c>
      <c r="D253" s="4" t="inlineStr">
        <is>
          <t>60</t>
        </is>
      </c>
      <c r="E253" s="5" t="inlineStr">
        <is>
          <t>79.000,00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=HYPERLINK("https://leilaoonline.net/lote/detalhe/132071", "11370")</f>
      </c>
      <c r="B254" s="4" t="s">
        <f>=HYPERLINK("https://leilaoonline.net/lote/detalhe/132071", " TRATOR VALTRA BH210, ANO 2015, FR 18071, LOC. SERRA ")</f>
      </c>
      <c r="C254" s="4" t="inlineStr">
        <is>
          <t>Vendido</t>
        </is>
      </c>
      <c r="D254" s="4" t="inlineStr">
        <is>
          <t>134</t>
        </is>
      </c>
      <c r="E254" s="5" t="inlineStr">
        <is>
          <t>281.000,00</t>
        </is>
      </c>
      <c r="F254" s="4" t="inlineStr">
        <is>
          <t>2000.00</t>
        </is>
      </c>
    </row>
    <row collapsed="false" customFormat="false" customHeight="false" hidden="false" ht="12.1" outlineLevel="0" r="255">
      <c r="A255" s="5" t="s">
        <f>=HYPERLINK("https://leilaoonline.net/lote/detalhe/132076", "11371")</f>
      </c>
      <c r="B255" s="4" t="s">
        <f>=HYPERLINK("https://leilaoonline.net/lote/detalhe/132076", " TRATOR VALTRA BH210, ANO 2015,  FR188945, LOC. SERRA ")</f>
      </c>
      <c r="C255" s="4" t="inlineStr">
        <is>
          <t>Não vendido</t>
        </is>
      </c>
      <c r="D255" s="4" t="inlineStr">
        <is>
          <t>135</t>
        </is>
      </c>
      <c r="E255" s="5" t="inlineStr">
        <is>
          <t>274.000,00</t>
        </is>
      </c>
      <c r="F255" s="4" t="inlineStr">
        <is>
          <t>2000.00</t>
        </is>
      </c>
    </row>
    <row collapsed="false" customFormat="false" customHeight="false" hidden="false" ht="12.1" outlineLevel="0" r="256">
      <c r="A256" s="5" t="s">
        <f>=HYPERLINK("https://leilaoonline.net/lote/detalhe/131438", "11372")</f>
      </c>
      <c r="B256" s="4" t="s">
        <f>=HYPERLINK("https://leilaoonline.net/lote/detalhe/131438", " S. REBOQUE USICAMP 12,50 M, ANO 2008, FR93624, LOC. JUNQUEIRA")</f>
      </c>
      <c r="C256" s="4" t="inlineStr">
        <is>
          <t>Vendido</t>
        </is>
      </c>
      <c r="D256" s="4" t="inlineStr">
        <is>
          <t>5</t>
        </is>
      </c>
      <c r="E256" s="5" t="inlineStr">
        <is>
          <t>24.000,00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=HYPERLINK("https://leilaoonline.net/lote/detalhe/131439", "11373")</f>
      </c>
      <c r="B257" s="4" t="s">
        <f>=HYPERLINK("https://leilaoonline.net/lote/detalhe/131439", " REBOQUE 4E RANDON 12,5M, ANO 2011, FR93665, LOC. JUNQUEIRA")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42.000,00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=HYPERLINK("https://leilaoonline.net/lote/detalhe/131434", "11374")</f>
      </c>
      <c r="B258" s="4" t="s">
        <f>=HYPERLINK("https://leilaoonline.net/lote/detalhe/131434", " CAMINHÃO M.BENZ L 2213, BASCULANTE, ANO 1984, FR360212, LOC. JUNQUEIRA")</f>
      </c>
      <c r="C258" s="4" t="inlineStr">
        <is>
          <t>Vendido</t>
        </is>
      </c>
      <c r="D258" s="4" t="inlineStr">
        <is>
          <t>68</t>
        </is>
      </c>
      <c r="E258" s="5" t="inlineStr">
        <is>
          <t>65.000,00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=HYPERLINK("https://leilaoonline.net/lote/detalhe/131430", "11375")</f>
      </c>
      <c r="B259" s="4" t="s">
        <f>=HYPERLINK("https://leilaoonline.net/lote/detalhe/131430", " CAMINHÃO VW 26.220 EURO3 WORKER, TANQUE, ANO 2010, FR92323, LOC. JUNQUEIRA")</f>
      </c>
      <c r="C259" s="4" t="inlineStr">
        <is>
          <t>Vendido</t>
        </is>
      </c>
      <c r="D259" s="4" t="inlineStr">
        <is>
          <t>93</t>
        </is>
      </c>
      <c r="E259" s="5" t="inlineStr">
        <is>
          <t>137.000,00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=HYPERLINK("https://leilaoonline.net/lote/detalhe/131400", "11605")</f>
      </c>
      <c r="B260" s="4" t="s">
        <f>=HYPERLINK("https://leilaoonline.net/lote/detalhe/131400", " REBOQUE RANDON 8,00 M, ANO 2008, FR81979, LOC. ZANIN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8.000,00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=HYPERLINK("https://leilaoonline.net/lote/detalhe/130955", "17156")</f>
      </c>
      <c r="B261" s="4" t="s">
        <f>=HYPERLINK("https://leilaoonline.net/lote/detalhe/130955", " ENFARDADORA PALHA ARRAST LB34B , ANO 2017, FR48602, LOC. IPAUSSU ")</f>
      </c>
      <c r="C261" s="4" t="inlineStr">
        <is>
          <t>Vendido</t>
        </is>
      </c>
      <c r="D261" s="4" t="inlineStr">
        <is>
          <t>43</t>
        </is>
      </c>
      <c r="E261" s="5" t="inlineStr">
        <is>
          <t>51.500,00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=HYPERLINK("https://leilaoonline.net/lote/detalhe/130961", "17164")</f>
      </c>
      <c r="B262" s="4" t="s">
        <f>=HYPERLINK("https://leilaoonline.net/lote/detalhe/130961", " TRANSBORDO ATA 12000 12T, ANO 2012, FR47064, LOC. IPAUSSU ")</f>
      </c>
      <c r="C262" s="4" t="inlineStr">
        <is>
          <t>Não vendido</t>
        </is>
      </c>
      <c r="D262" s="4" t="inlineStr">
        <is>
          <t>5</t>
        </is>
      </c>
      <c r="E262" s="5" t="inlineStr">
        <is>
          <t>12.000,00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=HYPERLINK("https://leilaoonline.net/lote/detalhe/131019", "17371")</f>
      </c>
      <c r="B263" s="4" t="s">
        <f>=HYPERLINK("https://leilaoonline.net/lote/detalhe/131019", " S.REBOQUE  RANDON 12,50 M, ANO 2008, FR112511,  (SERA VENDIDO S/ PNEUS) LOC. IPAUSSU ")</f>
      </c>
      <c r="C263" s="4" t="inlineStr">
        <is>
          <t>Vendido</t>
        </is>
      </c>
      <c r="D263" s="4" t="inlineStr">
        <is>
          <t>2</t>
        </is>
      </c>
      <c r="E263" s="5" t="inlineStr">
        <is>
          <t>34.000,00</t>
        </is>
      </c>
      <c r="F2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2026-05-23T23:32:10.00Z</dcterms:created>
  <dc:creator>Tellks Tecnologia</dc:creator>
  <cp:revision>0</cp:revision>
</cp:coreProperties>
</file>